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30" yWindow="-15" windowWidth="20400" windowHeight="7905" tabRatio="848"/>
  </bookViews>
  <sheets>
    <sheet name="Титульный лист" sheetId="28" r:id="rId1"/>
    <sheet name="Учебный план" sheetId="29" r:id="rId2"/>
    <sheet name="Титульный лист-з" sheetId="30" r:id="rId3"/>
    <sheet name="Учебный план-з" sheetId="31" r:id="rId4"/>
    <sheet name="Нормы" sheetId="24" r:id="rId5"/>
    <sheet name="Компетенции" sheetId="21" r:id="rId6"/>
    <sheet name="Материально-техническая база" sheetId="25" r:id="rId7"/>
    <sheet name="Примечание" sheetId="8" state="hidden" r:id="rId8"/>
    <sheet name="Сравнение УП" sheetId="32" state="hidden" r:id="rId9"/>
  </sheets>
  <externalReferences>
    <externalReference r:id="rId10"/>
  </externalReferences>
  <definedNames>
    <definedName name="_xlnm._FilterDatabase" localSheetId="1" hidden="1">'Учебный план'!$A$9:$CE$109</definedName>
    <definedName name="_xlnm._FilterDatabase" localSheetId="3" hidden="1">'Учебный план-з'!$A$8:$BL$8</definedName>
    <definedName name="_xlnm.Print_Titles" localSheetId="1">'Учебный план'!$2:$8</definedName>
    <definedName name="_xlnm.Print_Area" localSheetId="4">Нормы!$A$1:$I$59</definedName>
  </definedNames>
  <calcPr calcId="145621" fullPrecision="0"/>
</workbook>
</file>

<file path=xl/calcChain.xml><?xml version="1.0" encoding="utf-8"?>
<calcChain xmlns="http://schemas.openxmlformats.org/spreadsheetml/2006/main">
  <c r="BH68" i="29" l="1"/>
  <c r="BH67" i="29"/>
  <c r="BH57" i="29"/>
  <c r="BH56" i="29"/>
  <c r="BH55" i="29"/>
  <c r="BH54" i="29"/>
  <c r="BH53" i="29"/>
  <c r="BH52" i="29"/>
  <c r="BH51" i="29"/>
  <c r="BH50" i="29"/>
  <c r="BA31" i="31"/>
  <c r="A31" i="31"/>
  <c r="B31" i="31"/>
  <c r="BA47" i="31"/>
  <c r="A47" i="31"/>
  <c r="B47" i="31"/>
  <c r="BA42" i="31"/>
  <c r="A42" i="31"/>
  <c r="B42" i="31"/>
  <c r="AZ39" i="31"/>
  <c r="BA39" i="31"/>
  <c r="T81" i="31"/>
  <c r="X81" i="31"/>
  <c r="Z81" i="31"/>
  <c r="AD81" i="31"/>
  <c r="AP81" i="31"/>
  <c r="AF81" i="31"/>
  <c r="AJ81" i="31"/>
  <c r="AL80" i="31"/>
  <c r="AL81" i="31"/>
  <c r="AD60" i="31"/>
  <c r="BL107" i="29"/>
  <c r="AL38" i="31" l="1"/>
  <c r="O38" i="31"/>
  <c r="P38" i="31"/>
  <c r="Q38" i="31"/>
  <c r="R38" i="31"/>
  <c r="S38" i="31"/>
  <c r="AZ38" i="31"/>
  <c r="BA38" i="31"/>
  <c r="A38" i="31"/>
  <c r="B38" i="31"/>
  <c r="N38" i="31" l="1"/>
  <c r="M38" i="31" s="1"/>
  <c r="AQ61" i="31"/>
  <c r="AP61" i="31"/>
  <c r="AO61" i="31"/>
  <c r="AN61" i="31"/>
  <c r="AM61" i="31"/>
  <c r="AK61" i="31"/>
  <c r="AJ61" i="31"/>
  <c r="AI61" i="31"/>
  <c r="AH61" i="31"/>
  <c r="AG61" i="31"/>
  <c r="AA61" i="31"/>
  <c r="AB61" i="31"/>
  <c r="AC61" i="31"/>
  <c r="AD61" i="31"/>
  <c r="AM30" i="31"/>
  <c r="B53" i="32"/>
  <c r="C53" i="32"/>
  <c r="D53" i="32"/>
  <c r="E53" i="32"/>
  <c r="F53" i="32"/>
  <c r="G53" i="32"/>
  <c r="H53" i="32"/>
  <c r="S53" i="32"/>
  <c r="U53" i="32"/>
  <c r="M53" i="32" s="1"/>
  <c r="V53" i="32"/>
  <c r="N53" i="32" s="1"/>
  <c r="W53" i="32"/>
  <c r="O53" i="32" s="1"/>
  <c r="X53" i="32"/>
  <c r="P53" i="32" s="1"/>
  <c r="Y53" i="32"/>
  <c r="Q53" i="32" s="1"/>
  <c r="B54" i="32"/>
  <c r="C54" i="32"/>
  <c r="D54" i="32"/>
  <c r="E54" i="32"/>
  <c r="F54" i="32"/>
  <c r="G54" i="32"/>
  <c r="H54" i="32"/>
  <c r="S54" i="32"/>
  <c r="U54" i="32"/>
  <c r="M54" i="32" s="1"/>
  <c r="V54" i="32"/>
  <c r="N54" i="32" s="1"/>
  <c r="W54" i="32"/>
  <c r="O54" i="32" s="1"/>
  <c r="X54" i="32"/>
  <c r="P54" i="32" s="1"/>
  <c r="Y54" i="32"/>
  <c r="Q54" i="32" s="1"/>
  <c r="B55" i="32"/>
  <c r="C55" i="32"/>
  <c r="D55" i="32"/>
  <c r="E55" i="32"/>
  <c r="F55" i="32"/>
  <c r="G55" i="32"/>
  <c r="H55" i="32"/>
  <c r="S55" i="32"/>
  <c r="U55" i="32"/>
  <c r="M55" i="32" s="1"/>
  <c r="V55" i="32"/>
  <c r="N55" i="32" s="1"/>
  <c r="W55" i="32"/>
  <c r="O55" i="32" s="1"/>
  <c r="X55" i="32"/>
  <c r="P55" i="32" s="1"/>
  <c r="Y55" i="32"/>
  <c r="Q55" i="32" s="1"/>
  <c r="B56" i="32"/>
  <c r="C56" i="32"/>
  <c r="D56" i="32"/>
  <c r="E56" i="32"/>
  <c r="F56" i="32"/>
  <c r="G56" i="32"/>
  <c r="H56" i="32"/>
  <c r="S56" i="32"/>
  <c r="U56" i="32"/>
  <c r="M56" i="32" s="1"/>
  <c r="V56" i="32"/>
  <c r="N56" i="32" s="1"/>
  <c r="W56" i="32"/>
  <c r="O56" i="32" s="1"/>
  <c r="X56" i="32"/>
  <c r="P56" i="32" s="1"/>
  <c r="Y56" i="32"/>
  <c r="Q56" i="32" s="1"/>
  <c r="O57" i="31"/>
  <c r="P57" i="31"/>
  <c r="Q57" i="31"/>
  <c r="R57" i="31"/>
  <c r="S57" i="31"/>
  <c r="O58" i="31"/>
  <c r="P58" i="31"/>
  <c r="Q58" i="31"/>
  <c r="R58" i="31"/>
  <c r="S58" i="31"/>
  <c r="AP5" i="31" l="1"/>
  <c r="AJ5" i="31"/>
  <c r="N58" i="31"/>
  <c r="M58" i="31" s="1"/>
  <c r="L56" i="32"/>
  <c r="L55" i="32"/>
  <c r="L54" i="32"/>
  <c r="L53" i="32"/>
  <c r="N57" i="31"/>
  <c r="T55" i="32"/>
  <c r="O62" i="31"/>
  <c r="P62" i="31"/>
  <c r="Q62" i="31"/>
  <c r="R62" i="31"/>
  <c r="S62" i="31"/>
  <c r="O63" i="31"/>
  <c r="P63" i="31"/>
  <c r="Q63" i="31"/>
  <c r="R63" i="31"/>
  <c r="S63" i="31"/>
  <c r="BI48" i="29"/>
  <c r="A44" i="31"/>
  <c r="B44" i="31"/>
  <c r="O44" i="31"/>
  <c r="P44" i="31"/>
  <c r="Q44" i="31"/>
  <c r="R44" i="31"/>
  <c r="S44" i="31"/>
  <c r="T44" i="31"/>
  <c r="Z44" i="31"/>
  <c r="AF44" i="31"/>
  <c r="AL44" i="31"/>
  <c r="AR44" i="31"/>
  <c r="AZ44" i="31"/>
  <c r="BA44" i="31"/>
  <c r="A57" i="31"/>
  <c r="B57" i="31"/>
  <c r="Z54" i="32" s="1"/>
  <c r="R54" i="32" s="1"/>
  <c r="A58" i="31"/>
  <c r="B58" i="31"/>
  <c r="Z55" i="32" s="1"/>
  <c r="R55" i="32" s="1"/>
  <c r="A59" i="31"/>
  <c r="B59" i="31"/>
  <c r="Z56" i="32" s="1"/>
  <c r="R56" i="32" s="1"/>
  <c r="AR56" i="31"/>
  <c r="AR57" i="31"/>
  <c r="AR58" i="31"/>
  <c r="AR59" i="31"/>
  <c r="AL56" i="31"/>
  <c r="AL57" i="31"/>
  <c r="AL58" i="31"/>
  <c r="AL59" i="31"/>
  <c r="AF56" i="31"/>
  <c r="AF57" i="31"/>
  <c r="AF58" i="31"/>
  <c r="AF59" i="31"/>
  <c r="Z56" i="31"/>
  <c r="Z57" i="31"/>
  <c r="Z58" i="31"/>
  <c r="Z59" i="31"/>
  <c r="BV57" i="29"/>
  <c r="BN57" i="29"/>
  <c r="BB57" i="29"/>
  <c r="AV57" i="29"/>
  <c r="AP57" i="29"/>
  <c r="AJ57" i="29"/>
  <c r="AD57" i="29"/>
  <c r="X57" i="29"/>
  <c r="R57" i="29"/>
  <c r="Q57" i="29"/>
  <c r="P57" i="29"/>
  <c r="O57" i="29"/>
  <c r="N57" i="29"/>
  <c r="M57" i="29"/>
  <c r="BB56" i="29"/>
  <c r="Q56" i="29"/>
  <c r="P56" i="29"/>
  <c r="O56" i="29"/>
  <c r="N56" i="29"/>
  <c r="M56" i="29"/>
  <c r="M57" i="31" l="1"/>
  <c r="T54" i="32" s="1"/>
  <c r="L56" i="29"/>
  <c r="K56" i="29" s="1"/>
  <c r="K38" i="31" s="1"/>
  <c r="I38" i="31" s="1"/>
  <c r="N63" i="31"/>
  <c r="M63" i="31" s="1"/>
  <c r="N62" i="31"/>
  <c r="M62" i="31" s="1"/>
  <c r="L57" i="29"/>
  <c r="K57" i="29" s="1"/>
  <c r="N44" i="31"/>
  <c r="M44" i="31" s="1"/>
  <c r="BH62" i="29"/>
  <c r="BB62" i="29"/>
  <c r="AV62" i="29"/>
  <c r="AP62" i="29"/>
  <c r="AJ62" i="29"/>
  <c r="Q62" i="29"/>
  <c r="P62" i="29"/>
  <c r="O62" i="29"/>
  <c r="N62" i="29"/>
  <c r="M62" i="29"/>
  <c r="AT80" i="29"/>
  <c r="BH78" i="29"/>
  <c r="BB78" i="29"/>
  <c r="AV78" i="29"/>
  <c r="AP78" i="29"/>
  <c r="AJ78" i="29"/>
  <c r="AD78" i="29"/>
  <c r="X78" i="29"/>
  <c r="R78" i="29"/>
  <c r="Q78" i="29"/>
  <c r="P78" i="29"/>
  <c r="O78" i="29"/>
  <c r="N78" i="29"/>
  <c r="M78" i="29"/>
  <c r="BH77" i="29"/>
  <c r="BB77" i="29"/>
  <c r="AV77" i="29"/>
  <c r="AP77" i="29"/>
  <c r="AJ77" i="29"/>
  <c r="Q77" i="29"/>
  <c r="P77" i="29"/>
  <c r="O77" i="29"/>
  <c r="N77" i="29"/>
  <c r="M77" i="29"/>
  <c r="X26" i="29"/>
  <c r="R26" i="29"/>
  <c r="Q26" i="29"/>
  <c r="P26" i="29"/>
  <c r="O26" i="29"/>
  <c r="N26" i="29"/>
  <c r="M26" i="29"/>
  <c r="X25" i="29"/>
  <c r="R25" i="29"/>
  <c r="Q25" i="29"/>
  <c r="P25" i="29"/>
  <c r="O25" i="29"/>
  <c r="N25" i="29"/>
  <c r="M25" i="29"/>
  <c r="BV24" i="29"/>
  <c r="BN24" i="29"/>
  <c r="BH24" i="29"/>
  <c r="BB24" i="29"/>
  <c r="AV24" i="29"/>
  <c r="AP24" i="29"/>
  <c r="AJ24" i="29"/>
  <c r="AD24" i="29"/>
  <c r="X24" i="29"/>
  <c r="R24" i="29"/>
  <c r="Q24" i="29"/>
  <c r="P24" i="29"/>
  <c r="O24" i="29"/>
  <c r="N24" i="29"/>
  <c r="M24" i="29"/>
  <c r="BV23" i="29"/>
  <c r="BN23" i="29"/>
  <c r="BH23" i="29"/>
  <c r="BB23" i="29"/>
  <c r="AV23" i="29"/>
  <c r="AP23" i="29"/>
  <c r="AJ23" i="29"/>
  <c r="AD23" i="29"/>
  <c r="X23" i="29"/>
  <c r="R23" i="29"/>
  <c r="Q23" i="29"/>
  <c r="P23" i="29"/>
  <c r="O23" i="29"/>
  <c r="N23" i="29"/>
  <c r="M23" i="29"/>
  <c r="BV22" i="29"/>
  <c r="BN22" i="29"/>
  <c r="BH22" i="29"/>
  <c r="BB22" i="29"/>
  <c r="AV22" i="29"/>
  <c r="AP22" i="29"/>
  <c r="AJ22" i="29"/>
  <c r="AD22" i="29"/>
  <c r="X22" i="29"/>
  <c r="R22" i="29"/>
  <c r="Q22" i="29"/>
  <c r="P22" i="29"/>
  <c r="O22" i="29"/>
  <c r="N22" i="29"/>
  <c r="M22" i="29"/>
  <c r="BV21" i="29"/>
  <c r="BN21" i="29"/>
  <c r="BH21" i="29"/>
  <c r="BB21" i="29"/>
  <c r="AV21" i="29"/>
  <c r="AP21" i="29"/>
  <c r="AJ21" i="29"/>
  <c r="AD21" i="29"/>
  <c r="X21" i="29"/>
  <c r="R21" i="29"/>
  <c r="Q21" i="29"/>
  <c r="P21" i="29"/>
  <c r="O21" i="29"/>
  <c r="N21" i="29"/>
  <c r="M21" i="29"/>
  <c r="BV20" i="29"/>
  <c r="BN20" i="29"/>
  <c r="BH20" i="29"/>
  <c r="BB20" i="29"/>
  <c r="AV20" i="29"/>
  <c r="AP20" i="29"/>
  <c r="AJ20" i="29"/>
  <c r="AD20" i="29"/>
  <c r="X20" i="29"/>
  <c r="R20" i="29"/>
  <c r="Q20" i="29"/>
  <c r="P20" i="29"/>
  <c r="O20" i="29"/>
  <c r="N20" i="29"/>
  <c r="M20" i="29"/>
  <c r="BV17" i="29"/>
  <c r="BN17" i="29"/>
  <c r="BH17" i="29"/>
  <c r="BB17" i="29"/>
  <c r="AV17" i="29"/>
  <c r="AP17" i="29"/>
  <c r="AJ17" i="29"/>
  <c r="AD17" i="29"/>
  <c r="X17" i="29"/>
  <c r="R17" i="29"/>
  <c r="Q17" i="29"/>
  <c r="P17" i="29"/>
  <c r="O17" i="29"/>
  <c r="N17" i="29"/>
  <c r="M17" i="29"/>
  <c r="BV16" i="29"/>
  <c r="BN16" i="29"/>
  <c r="BH16" i="29"/>
  <c r="BB16" i="29"/>
  <c r="AV16" i="29"/>
  <c r="AP16" i="29"/>
  <c r="AJ16" i="29"/>
  <c r="AD16" i="29"/>
  <c r="X16" i="29"/>
  <c r="R16" i="29"/>
  <c r="Q16" i="29"/>
  <c r="P16" i="29"/>
  <c r="O16" i="29"/>
  <c r="N16" i="29"/>
  <c r="M16" i="29"/>
  <c r="BV15" i="29"/>
  <c r="BN15" i="29"/>
  <c r="BH15" i="29"/>
  <c r="BB15" i="29"/>
  <c r="AV15" i="29"/>
  <c r="AP15" i="29"/>
  <c r="AJ15" i="29"/>
  <c r="AD15" i="29"/>
  <c r="X15" i="29"/>
  <c r="R15" i="29"/>
  <c r="Q15" i="29"/>
  <c r="P15" i="29"/>
  <c r="O15" i="29"/>
  <c r="N15" i="29"/>
  <c r="M15" i="29"/>
  <c r="BV14" i="29"/>
  <c r="BN14" i="29"/>
  <c r="BH14" i="29"/>
  <c r="BB14" i="29"/>
  <c r="AV14" i="29"/>
  <c r="AP14" i="29"/>
  <c r="AJ14" i="29"/>
  <c r="AD14" i="29"/>
  <c r="X14" i="29"/>
  <c r="R14" i="29"/>
  <c r="Q14" i="29"/>
  <c r="P14" i="29"/>
  <c r="O14" i="29"/>
  <c r="N14" i="29"/>
  <c r="M14" i="29"/>
  <c r="BV13" i="29"/>
  <c r="BN13" i="29"/>
  <c r="BH13" i="29"/>
  <c r="BB13" i="29"/>
  <c r="AV13" i="29"/>
  <c r="AP13" i="29"/>
  <c r="AJ13" i="29"/>
  <c r="AD13" i="29"/>
  <c r="X13" i="29"/>
  <c r="R13" i="29"/>
  <c r="Q13" i="29"/>
  <c r="P13" i="29"/>
  <c r="O13" i="29"/>
  <c r="N13" i="29"/>
  <c r="M13" i="29"/>
  <c r="BV12" i="29"/>
  <c r="BN12" i="29"/>
  <c r="BH12" i="29"/>
  <c r="BB12" i="29"/>
  <c r="AV12" i="29"/>
  <c r="AP12" i="29"/>
  <c r="AJ12" i="29"/>
  <c r="AD12" i="29"/>
  <c r="X12" i="29"/>
  <c r="R12" i="29"/>
  <c r="Q12" i="29"/>
  <c r="P12" i="29"/>
  <c r="O12" i="29"/>
  <c r="N12" i="29"/>
  <c r="M12" i="29"/>
  <c r="S11" i="29"/>
  <c r="T11" i="29"/>
  <c r="U11" i="29"/>
  <c r="V11" i="29"/>
  <c r="W11" i="29"/>
  <c r="Y11" i="29"/>
  <c r="Z11" i="29"/>
  <c r="AA11" i="29"/>
  <c r="AB11" i="29"/>
  <c r="AC11" i="29"/>
  <c r="AE11" i="29"/>
  <c r="AF11" i="29"/>
  <c r="AG11" i="29"/>
  <c r="AH11" i="29"/>
  <c r="AI11" i="29"/>
  <c r="AK11" i="29"/>
  <c r="AL11" i="29"/>
  <c r="AM11" i="29"/>
  <c r="AN11" i="29"/>
  <c r="AO11" i="29"/>
  <c r="AQ11" i="29"/>
  <c r="AR11" i="29"/>
  <c r="AS11" i="29"/>
  <c r="AT11" i="29"/>
  <c r="AU11" i="29"/>
  <c r="AW11" i="29"/>
  <c r="AX11" i="29"/>
  <c r="AY11" i="29"/>
  <c r="AZ11" i="29"/>
  <c r="BA11" i="29"/>
  <c r="BC11" i="29"/>
  <c r="BD11" i="29"/>
  <c r="BE11" i="29"/>
  <c r="BF11" i="29"/>
  <c r="BG11" i="29"/>
  <c r="BI11" i="29"/>
  <c r="BJ11" i="29"/>
  <c r="BK11" i="29"/>
  <c r="BL11" i="29"/>
  <c r="BM11" i="29"/>
  <c r="BO11" i="29"/>
  <c r="BP11" i="29"/>
  <c r="BQ11" i="29"/>
  <c r="BR11" i="29"/>
  <c r="BS11" i="29"/>
  <c r="BT11" i="29"/>
  <c r="BU11" i="29"/>
  <c r="BW11" i="29"/>
  <c r="BX11" i="29"/>
  <c r="BY11" i="29"/>
  <c r="BZ11" i="29"/>
  <c r="CA11" i="29"/>
  <c r="CB11" i="29"/>
  <c r="CC11" i="29"/>
  <c r="M18" i="29"/>
  <c r="N18" i="29"/>
  <c r="O18" i="29"/>
  <c r="P18" i="29"/>
  <c r="Q18" i="29"/>
  <c r="R18" i="29"/>
  <c r="R11" i="29" s="1"/>
  <c r="X18" i="29"/>
  <c r="AD18" i="29"/>
  <c r="AJ18" i="29"/>
  <c r="AP18" i="29"/>
  <c r="AP11" i="29" s="1"/>
  <c r="AV18" i="29"/>
  <c r="BB18" i="29"/>
  <c r="BH18" i="29"/>
  <c r="BN18" i="29"/>
  <c r="BN11" i="29" s="1"/>
  <c r="BV18" i="29"/>
  <c r="S19" i="29"/>
  <c r="T19" i="29"/>
  <c r="U19" i="29"/>
  <c r="V19" i="29"/>
  <c r="W19" i="29"/>
  <c r="Y19" i="29"/>
  <c r="Z19" i="29"/>
  <c r="AA19" i="29"/>
  <c r="AB19" i="29"/>
  <c r="AC19" i="29"/>
  <c r="AE19" i="29"/>
  <c r="AF19" i="29"/>
  <c r="AG19" i="29"/>
  <c r="AH19" i="29"/>
  <c r="AI19" i="29"/>
  <c r="AK19" i="29"/>
  <c r="AL19" i="29"/>
  <c r="AM19" i="29"/>
  <c r="AN19" i="29"/>
  <c r="AO19" i="29"/>
  <c r="AQ19" i="29"/>
  <c r="AR19" i="29"/>
  <c r="AS19" i="29"/>
  <c r="AT19" i="29"/>
  <c r="AU19" i="29"/>
  <c r="AW19" i="29"/>
  <c r="AX19" i="29"/>
  <c r="AY19" i="29"/>
  <c r="AZ19" i="29"/>
  <c r="BA19" i="29"/>
  <c r="BC19" i="29"/>
  <c r="BD19" i="29"/>
  <c r="BE19" i="29"/>
  <c r="BF19" i="29"/>
  <c r="BG19" i="29"/>
  <c r="BI19" i="29"/>
  <c r="BJ19" i="29"/>
  <c r="BK19" i="29"/>
  <c r="BL19" i="29"/>
  <c r="BM19" i="29"/>
  <c r="BO19" i="29"/>
  <c r="BP19" i="29"/>
  <c r="BQ19" i="29"/>
  <c r="BR19" i="29"/>
  <c r="BS19" i="29"/>
  <c r="BT19" i="29"/>
  <c r="BU19" i="29"/>
  <c r="BW19" i="29"/>
  <c r="BX19" i="29"/>
  <c r="BY19" i="29"/>
  <c r="BZ19" i="29"/>
  <c r="CA19" i="29"/>
  <c r="CB19" i="29"/>
  <c r="CC19" i="29"/>
  <c r="S28" i="29"/>
  <c r="T28" i="29"/>
  <c r="U28" i="29"/>
  <c r="V28" i="29"/>
  <c r="W28" i="29"/>
  <c r="Y28" i="29"/>
  <c r="Z28" i="29"/>
  <c r="AA28" i="29"/>
  <c r="AB28" i="29"/>
  <c r="AC28" i="29"/>
  <c r="AE28" i="29"/>
  <c r="AF28" i="29"/>
  <c r="AG28" i="29"/>
  <c r="AH28" i="29"/>
  <c r="AI28" i="29"/>
  <c r="AK28" i="29"/>
  <c r="AL28" i="29"/>
  <c r="AM28" i="29"/>
  <c r="AN28" i="29"/>
  <c r="AO28" i="29"/>
  <c r="AQ28" i="29"/>
  <c r="AR28" i="29"/>
  <c r="AS28" i="29"/>
  <c r="AT28" i="29"/>
  <c r="AU28" i="29"/>
  <c r="AW28" i="29"/>
  <c r="AX28" i="29"/>
  <c r="AY28" i="29"/>
  <c r="AZ28" i="29"/>
  <c r="BA28" i="29"/>
  <c r="BC28" i="29"/>
  <c r="BD28" i="29"/>
  <c r="BE28" i="29"/>
  <c r="BF28" i="29"/>
  <c r="BG28" i="29"/>
  <c r="BI28" i="29"/>
  <c r="BJ28" i="29"/>
  <c r="BK28" i="29"/>
  <c r="BL28" i="29"/>
  <c r="BM28" i="29"/>
  <c r="BO28" i="29"/>
  <c r="BP28" i="29"/>
  <c r="BQ28" i="29"/>
  <c r="BR28" i="29"/>
  <c r="BS28" i="29"/>
  <c r="BT28" i="29"/>
  <c r="BU28" i="29"/>
  <c r="BW28" i="29"/>
  <c r="BX28" i="29"/>
  <c r="BY28" i="29"/>
  <c r="BZ28" i="29"/>
  <c r="CA28" i="29"/>
  <c r="CB28" i="29"/>
  <c r="CC28" i="29"/>
  <c r="M29" i="29"/>
  <c r="N29" i="29"/>
  <c r="O29" i="29"/>
  <c r="P29" i="29"/>
  <c r="Q29" i="29"/>
  <c r="R29" i="29"/>
  <c r="X29" i="29"/>
  <c r="AD29" i="29"/>
  <c r="AJ29" i="29"/>
  <c r="AP29" i="29"/>
  <c r="AV29" i="29"/>
  <c r="BB29" i="29"/>
  <c r="BH29" i="29"/>
  <c r="BN29" i="29"/>
  <c r="BV29" i="29"/>
  <c r="M30" i="29"/>
  <c r="N30" i="29"/>
  <c r="O30" i="29"/>
  <c r="P30" i="29"/>
  <c r="Q30" i="29"/>
  <c r="R30" i="29"/>
  <c r="X30" i="29"/>
  <c r="AD30" i="29"/>
  <c r="AJ30" i="29"/>
  <c r="AP30" i="29"/>
  <c r="AV30" i="29"/>
  <c r="BB30" i="29"/>
  <c r="BH30" i="29"/>
  <c r="BN30" i="29"/>
  <c r="BV30" i="29"/>
  <c r="M31" i="29"/>
  <c r="N31" i="29"/>
  <c r="O31" i="29"/>
  <c r="P31" i="29"/>
  <c r="Q31" i="29"/>
  <c r="R31" i="29"/>
  <c r="X31" i="29"/>
  <c r="AD31" i="29"/>
  <c r="AJ31" i="29"/>
  <c r="AP31" i="29"/>
  <c r="AV31" i="29"/>
  <c r="BB31" i="29"/>
  <c r="BH31" i="29"/>
  <c r="BN31" i="29"/>
  <c r="BV31" i="29"/>
  <c r="L25" i="29" l="1"/>
  <c r="K25" i="29" s="1"/>
  <c r="BB11" i="29"/>
  <c r="AD11" i="29"/>
  <c r="L38" i="31"/>
  <c r="J38" i="31" s="1"/>
  <c r="L12" i="29"/>
  <c r="O11" i="29"/>
  <c r="L15" i="29"/>
  <c r="J15" i="29" s="1"/>
  <c r="L17" i="29"/>
  <c r="K17" i="29" s="1"/>
  <c r="L13" i="29"/>
  <c r="K13" i="29" s="1"/>
  <c r="L20" i="29"/>
  <c r="K20" i="29" s="1"/>
  <c r="L22" i="29"/>
  <c r="K22" i="29" s="1"/>
  <c r="L23" i="29"/>
  <c r="K23" i="29" s="1"/>
  <c r="L26" i="29"/>
  <c r="K26" i="29" s="1"/>
  <c r="K12" i="29"/>
  <c r="BV11" i="29"/>
  <c r="BH11" i="29"/>
  <c r="AV11" i="29"/>
  <c r="AJ11" i="29"/>
  <c r="X11" i="29"/>
  <c r="Q11" i="29"/>
  <c r="P11" i="29"/>
  <c r="N11" i="29"/>
  <c r="L62" i="29"/>
  <c r="L21" i="29"/>
  <c r="K21" i="29" s="1"/>
  <c r="L24" i="29"/>
  <c r="K24" i="29" s="1"/>
  <c r="L77" i="29"/>
  <c r="L78" i="29"/>
  <c r="J26" i="29"/>
  <c r="L31" i="29"/>
  <c r="K31" i="29" s="1"/>
  <c r="J22" i="29"/>
  <c r="J25" i="29"/>
  <c r="J13" i="29"/>
  <c r="Q19" i="29"/>
  <c r="P19" i="29"/>
  <c r="N19" i="29"/>
  <c r="BN19" i="29"/>
  <c r="BB19" i="29"/>
  <c r="AP19" i="29"/>
  <c r="AD19" i="29"/>
  <c r="R19" i="29"/>
  <c r="O19" i="29"/>
  <c r="L18" i="29"/>
  <c r="K18" i="29" s="1"/>
  <c r="L14" i="29"/>
  <c r="K14" i="29" s="1"/>
  <c r="L16" i="29"/>
  <c r="J16" i="29" s="1"/>
  <c r="BV19" i="29"/>
  <c r="BH19" i="29"/>
  <c r="AV19" i="29"/>
  <c r="AJ19" i="29"/>
  <c r="X19" i="29"/>
  <c r="K15" i="29"/>
  <c r="L29" i="29"/>
  <c r="L30" i="29"/>
  <c r="K30" i="29" s="1"/>
  <c r="M19" i="29"/>
  <c r="M11" i="29"/>
  <c r="K16" i="29" l="1"/>
  <c r="J20" i="29"/>
  <c r="K77" i="29"/>
  <c r="L57" i="31"/>
  <c r="J57" i="31" s="1"/>
  <c r="J11" i="29"/>
  <c r="J19" i="29"/>
  <c r="K78" i="29"/>
  <c r="L58" i="31"/>
  <c r="J58" i="31" s="1"/>
  <c r="K62" i="29"/>
  <c r="K44" i="31" s="1"/>
  <c r="I44" i="31" s="1"/>
  <c r="L44" i="31"/>
  <c r="J44" i="31" s="1"/>
  <c r="L11" i="29"/>
  <c r="K11" i="29"/>
  <c r="K19" i="29"/>
  <c r="K29" i="29"/>
  <c r="L19" i="29"/>
  <c r="AE61" i="31"/>
  <c r="AD5" i="31" s="1"/>
  <c r="P12" i="31"/>
  <c r="K58" i="31" l="1"/>
  <c r="I58" i="31" s="1"/>
  <c r="K55" i="32"/>
  <c r="K57" i="31"/>
  <c r="I57" i="31" s="1"/>
  <c r="K54" i="32"/>
  <c r="S59" i="31"/>
  <c r="R59" i="31"/>
  <c r="Q59" i="31"/>
  <c r="P59" i="31"/>
  <c r="O59" i="31"/>
  <c r="S56" i="31"/>
  <c r="R56" i="31"/>
  <c r="Q56" i="31"/>
  <c r="P56" i="31"/>
  <c r="O56" i="31"/>
  <c r="S55" i="31"/>
  <c r="R55" i="31"/>
  <c r="Q55" i="31"/>
  <c r="P55" i="31"/>
  <c r="O55" i="31"/>
  <c r="S52" i="31"/>
  <c r="R52" i="31"/>
  <c r="Q52" i="31"/>
  <c r="P52" i="31"/>
  <c r="O52" i="31"/>
  <c r="S49" i="31"/>
  <c r="R49" i="31"/>
  <c r="Q49" i="31"/>
  <c r="P49" i="31"/>
  <c r="O49" i="31"/>
  <c r="R48" i="31"/>
  <c r="S48" i="31"/>
  <c r="Q48" i="31"/>
  <c r="P48" i="31"/>
  <c r="O48" i="31"/>
  <c r="S43" i="31"/>
  <c r="R43" i="31"/>
  <c r="Q43" i="31"/>
  <c r="P43" i="31"/>
  <c r="O43" i="31"/>
  <c r="S39" i="31"/>
  <c r="R39" i="31"/>
  <c r="Q39" i="31"/>
  <c r="P39" i="31"/>
  <c r="O39" i="31"/>
  <c r="S37" i="31"/>
  <c r="R37" i="31"/>
  <c r="Q37" i="31"/>
  <c r="P37" i="31"/>
  <c r="O37" i="31"/>
  <c r="S36" i="31"/>
  <c r="R36" i="31"/>
  <c r="Q36" i="31"/>
  <c r="P36" i="31"/>
  <c r="O36" i="31"/>
  <c r="S35" i="31"/>
  <c r="R35" i="31"/>
  <c r="Q35" i="31"/>
  <c r="P35" i="31"/>
  <c r="O35" i="31"/>
  <c r="S34" i="31"/>
  <c r="R34" i="31"/>
  <c r="Q34" i="31"/>
  <c r="P34" i="31"/>
  <c r="O34" i="31"/>
  <c r="S33" i="31"/>
  <c r="R33" i="31"/>
  <c r="Q33" i="31"/>
  <c r="P33" i="31"/>
  <c r="O33" i="31"/>
  <c r="S32" i="31"/>
  <c r="R32" i="31"/>
  <c r="Q32" i="31"/>
  <c r="P32" i="31"/>
  <c r="O32" i="31"/>
  <c r="S28" i="31"/>
  <c r="R28" i="31"/>
  <c r="Q28" i="31"/>
  <c r="P28" i="31"/>
  <c r="O28" i="31"/>
  <c r="S27" i="31"/>
  <c r="R27" i="31"/>
  <c r="Q27" i="31"/>
  <c r="P27" i="31"/>
  <c r="O27" i="31"/>
  <c r="S26" i="31"/>
  <c r="R26" i="31"/>
  <c r="Q26" i="31"/>
  <c r="P26" i="31"/>
  <c r="O26" i="31"/>
  <c r="S25" i="31"/>
  <c r="R25" i="31"/>
  <c r="Q25" i="31"/>
  <c r="P25" i="31"/>
  <c r="O25" i="31"/>
  <c r="S24" i="31"/>
  <c r="R24" i="31"/>
  <c r="Q24" i="31"/>
  <c r="P24" i="31"/>
  <c r="O24" i="31"/>
  <c r="S23" i="31"/>
  <c r="R23" i="31"/>
  <c r="Q23" i="31"/>
  <c r="P23" i="31"/>
  <c r="O23" i="31"/>
  <c r="S22" i="31"/>
  <c r="R22" i="31"/>
  <c r="Q22" i="31"/>
  <c r="P22" i="31"/>
  <c r="O22" i="31"/>
  <c r="S21" i="31"/>
  <c r="R21" i="31"/>
  <c r="Q21" i="31"/>
  <c r="P21" i="31"/>
  <c r="O21" i="31"/>
  <c r="N39" i="31" l="1"/>
  <c r="M39" i="31" s="1"/>
  <c r="N49" i="31"/>
  <c r="M49" i="31" s="1"/>
  <c r="N59" i="31"/>
  <c r="N43" i="31"/>
  <c r="M43" i="31" s="1"/>
  <c r="N32" i="31"/>
  <c r="M32" i="31" s="1"/>
  <c r="N28" i="31"/>
  <c r="M28" i="31" s="1"/>
  <c r="N26" i="31"/>
  <c r="M26" i="31" s="1"/>
  <c r="N34" i="31"/>
  <c r="M34" i="31" s="1"/>
  <c r="N48" i="31"/>
  <c r="M48" i="31" s="1"/>
  <c r="N55" i="31"/>
  <c r="M55" i="31" s="1"/>
  <c r="N56" i="31"/>
  <c r="N37" i="31"/>
  <c r="M37" i="31" s="1"/>
  <c r="N36" i="31"/>
  <c r="M36" i="31" s="1"/>
  <c r="N35" i="31"/>
  <c r="M35" i="31" s="1"/>
  <c r="N33" i="31"/>
  <c r="M33" i="31" s="1"/>
  <c r="N52" i="31"/>
  <c r="M52" i="31" s="1"/>
  <c r="N27" i="31"/>
  <c r="M27" i="31" s="1"/>
  <c r="N24" i="31"/>
  <c r="M24" i="31" s="1"/>
  <c r="N25" i="31"/>
  <c r="M25" i="31" s="1"/>
  <c r="N23" i="31"/>
  <c r="M23" i="31" s="1"/>
  <c r="N22" i="31"/>
  <c r="M22" i="31" s="1"/>
  <c r="N21" i="31"/>
  <c r="M21" i="31" s="1"/>
  <c r="Q18" i="31"/>
  <c r="Q17" i="31"/>
  <c r="Q16" i="31"/>
  <c r="Q12" i="31"/>
  <c r="Q13" i="31"/>
  <c r="Q14" i="31"/>
  <c r="Q11" i="31"/>
  <c r="P16" i="31"/>
  <c r="O16" i="31"/>
  <c r="P11" i="31"/>
  <c r="S18" i="31"/>
  <c r="R18" i="31"/>
  <c r="P18" i="31"/>
  <c r="O18" i="31"/>
  <c r="S17" i="31"/>
  <c r="R17" i="31"/>
  <c r="P17" i="31"/>
  <c r="O17" i="31"/>
  <c r="S16" i="31"/>
  <c r="R16" i="31"/>
  <c r="S11" i="31"/>
  <c r="S12" i="31"/>
  <c r="S13" i="31"/>
  <c r="S14" i="31"/>
  <c r="O12" i="31"/>
  <c r="O13" i="31"/>
  <c r="O11" i="31"/>
  <c r="P13" i="31"/>
  <c r="T84" i="31"/>
  <c r="T83" i="31"/>
  <c r="T82" i="31"/>
  <c r="X80" i="31"/>
  <c r="T80" i="31"/>
  <c r="Y74" i="31"/>
  <c r="X74" i="31"/>
  <c r="W74" i="31"/>
  <c r="V74" i="31"/>
  <c r="U74" i="31"/>
  <c r="T67" i="31"/>
  <c r="T66" i="31"/>
  <c r="T74" i="31" s="1"/>
  <c r="T65" i="31"/>
  <c r="Y64" i="31"/>
  <c r="Y73" i="31" s="1"/>
  <c r="X64" i="31"/>
  <c r="X73" i="31" s="1"/>
  <c r="W64" i="31"/>
  <c r="W73" i="31" s="1"/>
  <c r="V64" i="31"/>
  <c r="V73" i="31" s="1"/>
  <c r="U64" i="31"/>
  <c r="T63" i="31"/>
  <c r="T62" i="31"/>
  <c r="Y61" i="31"/>
  <c r="Y72" i="31" s="1"/>
  <c r="X61" i="31"/>
  <c r="X72" i="31" s="1"/>
  <c r="W61" i="31"/>
  <c r="W72" i="31" s="1"/>
  <c r="V61" i="31"/>
  <c r="V72" i="31" s="1"/>
  <c r="U61" i="31"/>
  <c r="T59" i="31"/>
  <c r="T55" i="31"/>
  <c r="Y54" i="31"/>
  <c r="X54" i="31"/>
  <c r="W54" i="31"/>
  <c r="V54" i="31"/>
  <c r="U54" i="31"/>
  <c r="T52" i="31"/>
  <c r="Y51" i="31"/>
  <c r="X51" i="31"/>
  <c r="W51" i="31"/>
  <c r="V51" i="31"/>
  <c r="U51" i="31"/>
  <c r="T49" i="31"/>
  <c r="T48" i="31"/>
  <c r="Y46" i="31"/>
  <c r="X46" i="31"/>
  <c r="W46" i="31"/>
  <c r="V46" i="31"/>
  <c r="U46" i="31"/>
  <c r="T43" i="31"/>
  <c r="Y41" i="31"/>
  <c r="X41" i="31"/>
  <c r="W41" i="31"/>
  <c r="V41" i="31"/>
  <c r="U41" i="31"/>
  <c r="T39" i="31"/>
  <c r="T37" i="31"/>
  <c r="T36" i="31"/>
  <c r="T35" i="31"/>
  <c r="T34" i="31"/>
  <c r="T33" i="31"/>
  <c r="T32" i="31"/>
  <c r="Y30" i="31"/>
  <c r="X30" i="31"/>
  <c r="W30" i="31"/>
  <c r="V30" i="31"/>
  <c r="U30" i="31"/>
  <c r="T28" i="31"/>
  <c r="T27" i="31"/>
  <c r="T26" i="31"/>
  <c r="T25" i="31"/>
  <c r="T24" i="31"/>
  <c r="T23" i="31"/>
  <c r="T22" i="31"/>
  <c r="T21" i="31"/>
  <c r="Y20" i="31"/>
  <c r="X20" i="31"/>
  <c r="W20" i="31"/>
  <c r="V20" i="31"/>
  <c r="U20" i="31"/>
  <c r="T18" i="31"/>
  <c r="T17" i="31"/>
  <c r="T16" i="31"/>
  <c r="Y15" i="31"/>
  <c r="X15" i="31"/>
  <c r="W15" i="31"/>
  <c r="V15" i="31"/>
  <c r="U15" i="31"/>
  <c r="T14" i="31"/>
  <c r="T13" i="31"/>
  <c r="T12" i="31"/>
  <c r="T11" i="31"/>
  <c r="Y10" i="31"/>
  <c r="X10" i="31"/>
  <c r="W10" i="31"/>
  <c r="V10" i="31"/>
  <c r="U10" i="31"/>
  <c r="K53" i="31"/>
  <c r="L53" i="31"/>
  <c r="K45" i="31"/>
  <c r="L45" i="31"/>
  <c r="K50" i="31"/>
  <c r="L50" i="31"/>
  <c r="K12" i="31"/>
  <c r="K13" i="31"/>
  <c r="K11" i="31"/>
  <c r="L12" i="31"/>
  <c r="J12" i="31" s="1"/>
  <c r="L13" i="31"/>
  <c r="J13" i="31" s="1"/>
  <c r="U72" i="31" l="1"/>
  <c r="X5" i="31"/>
  <c r="U73" i="31"/>
  <c r="X6" i="31"/>
  <c r="M59" i="31"/>
  <c r="T56" i="32" s="1"/>
  <c r="M56" i="31"/>
  <c r="T53" i="32" s="1"/>
  <c r="N18" i="31"/>
  <c r="M18" i="31" s="1"/>
  <c r="Y29" i="31"/>
  <c r="N16" i="31"/>
  <c r="M16" i="31" s="1"/>
  <c r="N17" i="31"/>
  <c r="M17" i="31" s="1"/>
  <c r="T46" i="31"/>
  <c r="V29" i="31"/>
  <c r="V19" i="31" s="1"/>
  <c r="V9" i="31" s="1"/>
  <c r="V71" i="31" s="1"/>
  <c r="X29" i="31"/>
  <c r="X19" i="31" s="1"/>
  <c r="X9" i="31" s="1"/>
  <c r="X71" i="31" s="1"/>
  <c r="X75" i="31" s="1"/>
  <c r="T41" i="31"/>
  <c r="T54" i="31"/>
  <c r="Y19" i="31"/>
  <c r="Y9" i="31" s="1"/>
  <c r="Y71" i="31" s="1"/>
  <c r="Y75" i="31" s="1"/>
  <c r="T30" i="31"/>
  <c r="U29" i="31"/>
  <c r="U19" i="31" s="1"/>
  <c r="U9" i="31" s="1"/>
  <c r="U71" i="31" s="1"/>
  <c r="W29" i="31"/>
  <c r="W19" i="31" s="1"/>
  <c r="W9" i="31" s="1"/>
  <c r="W71" i="31" s="1"/>
  <c r="W75" i="31" s="1"/>
  <c r="T61" i="31"/>
  <c r="T77" i="31" s="1"/>
  <c r="T64" i="31"/>
  <c r="T73" i="31"/>
  <c r="T51" i="31"/>
  <c r="T20" i="31"/>
  <c r="T15" i="31"/>
  <c r="T10" i="31"/>
  <c r="T76" i="31"/>
  <c r="T72" i="31"/>
  <c r="T29" i="31" l="1"/>
  <c r="T19" i="31" s="1"/>
  <c r="T9" i="31" s="1"/>
  <c r="U75" i="31"/>
  <c r="T79" i="31"/>
  <c r="V75" i="31"/>
  <c r="T71" i="31"/>
  <c r="BH76" i="29"/>
  <c r="T75" i="31" l="1"/>
  <c r="T78" i="31"/>
  <c r="D136" i="29"/>
  <c r="BL106" i="29" l="1"/>
  <c r="BB84" i="29"/>
  <c r="BH84" i="29"/>
  <c r="AD84" i="29"/>
  <c r="AU80" i="29" l="1"/>
  <c r="AQ80" i="29"/>
  <c r="E22" i="24" l="1"/>
  <c r="B36" i="32" l="1"/>
  <c r="C36" i="32"/>
  <c r="D36" i="32"/>
  <c r="E36" i="32"/>
  <c r="F36" i="32"/>
  <c r="G36" i="32"/>
  <c r="H36" i="32"/>
  <c r="S36" i="32"/>
  <c r="U36" i="32"/>
  <c r="M36" i="32" s="1"/>
  <c r="V36" i="32"/>
  <c r="N36" i="32" s="1"/>
  <c r="W36" i="32"/>
  <c r="O36" i="32" s="1"/>
  <c r="X36" i="32"/>
  <c r="P36" i="32" s="1"/>
  <c r="Y36" i="32"/>
  <c r="Q36" i="32" s="1"/>
  <c r="B37" i="32"/>
  <c r="C37" i="32"/>
  <c r="D37" i="32"/>
  <c r="E37" i="32"/>
  <c r="F37" i="32"/>
  <c r="G37" i="32"/>
  <c r="H37" i="32"/>
  <c r="S37" i="32"/>
  <c r="U37" i="32"/>
  <c r="M37" i="32" s="1"/>
  <c r="V37" i="32"/>
  <c r="N37" i="32" s="1"/>
  <c r="W37" i="32"/>
  <c r="O37" i="32" s="1"/>
  <c r="X37" i="32"/>
  <c r="P37" i="32" s="1"/>
  <c r="Y37" i="32"/>
  <c r="Q37" i="32" s="1"/>
  <c r="B38" i="32"/>
  <c r="C38" i="32"/>
  <c r="D38" i="32"/>
  <c r="E38" i="32"/>
  <c r="F38" i="32"/>
  <c r="G38" i="32"/>
  <c r="H38" i="32"/>
  <c r="S38" i="32"/>
  <c r="U38" i="32"/>
  <c r="M38" i="32" s="1"/>
  <c r="V38" i="32"/>
  <c r="N38" i="32" s="1"/>
  <c r="W38" i="32"/>
  <c r="O38" i="32" s="1"/>
  <c r="X38" i="32"/>
  <c r="P38" i="32" s="1"/>
  <c r="Y38" i="32"/>
  <c r="Q38" i="32" s="1"/>
  <c r="B39" i="32"/>
  <c r="C39" i="32"/>
  <c r="D39" i="32"/>
  <c r="E39" i="32"/>
  <c r="F39" i="32"/>
  <c r="G39" i="32"/>
  <c r="H39" i="32"/>
  <c r="S39" i="32"/>
  <c r="T39" i="32"/>
  <c r="U39" i="32"/>
  <c r="M39" i="32" s="1"/>
  <c r="V39" i="32"/>
  <c r="N39" i="32" s="1"/>
  <c r="W39" i="32"/>
  <c r="O39" i="32" s="1"/>
  <c r="X39" i="32"/>
  <c r="P39" i="32" s="1"/>
  <c r="Y39" i="32"/>
  <c r="Q39" i="32" s="1"/>
  <c r="A39" i="31"/>
  <c r="B39" i="31"/>
  <c r="Z38" i="32" s="1"/>
  <c r="R38" i="32" s="1"/>
  <c r="Z39" i="32"/>
  <c r="R39" i="32" s="1"/>
  <c r="A37" i="31"/>
  <c r="B37" i="31"/>
  <c r="Z37" i="32" s="1"/>
  <c r="R37" i="32" s="1"/>
  <c r="Z37" i="31"/>
  <c r="AF37" i="31"/>
  <c r="AL37" i="31"/>
  <c r="AR37" i="31"/>
  <c r="AZ37" i="31"/>
  <c r="BA37" i="31"/>
  <c r="AZ56" i="31"/>
  <c r="BA56" i="31"/>
  <c r="A56" i="31"/>
  <c r="B56" i="31"/>
  <c r="Z53" i="32" s="1"/>
  <c r="R53" i="32" s="1"/>
  <c r="T37" i="32" l="1"/>
  <c r="L39" i="32"/>
  <c r="L38" i="32"/>
  <c r="L37" i="32"/>
  <c r="L36" i="32"/>
  <c r="BB76" i="29" l="1"/>
  <c r="M76" i="29" l="1"/>
  <c r="N76" i="29"/>
  <c r="O76" i="29"/>
  <c r="P76" i="29"/>
  <c r="Q76" i="29"/>
  <c r="L76" i="29" l="1"/>
  <c r="L56" i="31" s="1"/>
  <c r="J56" i="31" s="1"/>
  <c r="Y64" i="32"/>
  <c r="X64" i="32"/>
  <c r="W64" i="32"/>
  <c r="V64" i="32"/>
  <c r="U64" i="32"/>
  <c r="Y63" i="32"/>
  <c r="X63" i="32"/>
  <c r="W63" i="32"/>
  <c r="V63" i="32"/>
  <c r="U63" i="32"/>
  <c r="AR81" i="31"/>
  <c r="Z84" i="31"/>
  <c r="AF84" i="31"/>
  <c r="AL84" i="31"/>
  <c r="AR84" i="31"/>
  <c r="AR83" i="31"/>
  <c r="AL83" i="31"/>
  <c r="AF83" i="31"/>
  <c r="Z83" i="31"/>
  <c r="AZ64" i="31"/>
  <c r="BA64" i="31"/>
  <c r="AZ65" i="31"/>
  <c r="BA65" i="31"/>
  <c r="AZ66" i="31"/>
  <c r="BA66" i="31"/>
  <c r="AZ67" i="31"/>
  <c r="BA67" i="31"/>
  <c r="AZ63" i="31"/>
  <c r="BA63" i="31"/>
  <c r="AZ62" i="31"/>
  <c r="BA62" i="31"/>
  <c r="BA61" i="31"/>
  <c r="AZ61" i="31"/>
  <c r="M85" i="29"/>
  <c r="N85" i="29"/>
  <c r="Q85" i="29"/>
  <c r="R85" i="29"/>
  <c r="X85" i="29"/>
  <c r="AD85" i="29"/>
  <c r="AJ85" i="29"/>
  <c r="AP85" i="29"/>
  <c r="AV85" i="29"/>
  <c r="BB85" i="29"/>
  <c r="BH85" i="29"/>
  <c r="M86" i="29"/>
  <c r="N86" i="29"/>
  <c r="Q86" i="29"/>
  <c r="R86" i="29"/>
  <c r="X86" i="29"/>
  <c r="AD86" i="29"/>
  <c r="AJ86" i="29"/>
  <c r="AP86" i="29"/>
  <c r="AV86" i="29"/>
  <c r="BB86" i="29"/>
  <c r="BH86" i="29"/>
  <c r="AZ50" i="31"/>
  <c r="BA50" i="31"/>
  <c r="AZ51" i="31"/>
  <c r="BA51" i="31"/>
  <c r="AZ52" i="31"/>
  <c r="BA52" i="31"/>
  <c r="AZ53" i="31"/>
  <c r="BA53" i="31"/>
  <c r="AZ54" i="31"/>
  <c r="BA54" i="31"/>
  <c r="AZ55" i="31"/>
  <c r="BA55" i="31"/>
  <c r="AZ59" i="31"/>
  <c r="BA59" i="31"/>
  <c r="AZ60" i="31"/>
  <c r="BA60" i="31"/>
  <c r="AZ40" i="31"/>
  <c r="BA40" i="31"/>
  <c r="AZ41" i="31"/>
  <c r="BA41" i="31"/>
  <c r="AZ43" i="31"/>
  <c r="BA43" i="31"/>
  <c r="AZ45" i="31"/>
  <c r="BA45" i="31"/>
  <c r="AZ46" i="31"/>
  <c r="BA46" i="31"/>
  <c r="AZ48" i="31"/>
  <c r="BA48" i="31"/>
  <c r="AZ49" i="31"/>
  <c r="BA49" i="31"/>
  <c r="AZ33" i="31"/>
  <c r="AZ34" i="31"/>
  <c r="AZ35" i="31"/>
  <c r="AZ36" i="31"/>
  <c r="BA33" i="31"/>
  <c r="BA34" i="31"/>
  <c r="BA35" i="31"/>
  <c r="BA36" i="31"/>
  <c r="B66" i="31"/>
  <c r="B65" i="31"/>
  <c r="B23" i="32"/>
  <c r="C23" i="32"/>
  <c r="D23" i="32"/>
  <c r="E23" i="32"/>
  <c r="F23" i="32"/>
  <c r="G23" i="32"/>
  <c r="H23" i="32"/>
  <c r="B24" i="32"/>
  <c r="C24" i="32"/>
  <c r="D24" i="32"/>
  <c r="E24" i="32"/>
  <c r="F24" i="32"/>
  <c r="G24" i="32"/>
  <c r="H24" i="32"/>
  <c r="B25" i="32"/>
  <c r="C25" i="32"/>
  <c r="D25" i="32"/>
  <c r="E25" i="32"/>
  <c r="F25" i="32"/>
  <c r="G25" i="32"/>
  <c r="H25" i="32"/>
  <c r="B26" i="32"/>
  <c r="C26" i="32"/>
  <c r="D26" i="32"/>
  <c r="E26" i="32"/>
  <c r="F26" i="32"/>
  <c r="G26" i="32"/>
  <c r="H26" i="32"/>
  <c r="B27" i="32"/>
  <c r="C27" i="32"/>
  <c r="D27" i="32"/>
  <c r="E27" i="32"/>
  <c r="F27" i="32"/>
  <c r="G27" i="32"/>
  <c r="H27" i="32"/>
  <c r="B28" i="32"/>
  <c r="C28" i="32"/>
  <c r="D28" i="32"/>
  <c r="E28" i="32"/>
  <c r="F28" i="32"/>
  <c r="G28" i="32"/>
  <c r="H28" i="32"/>
  <c r="B29" i="32"/>
  <c r="C29" i="32"/>
  <c r="D29" i="32"/>
  <c r="E29" i="32"/>
  <c r="F29" i="32"/>
  <c r="G29" i="32"/>
  <c r="H29" i="32"/>
  <c r="CC87" i="29"/>
  <c r="CB87" i="29"/>
  <c r="CA87" i="29"/>
  <c r="BZ87" i="29"/>
  <c r="BY87" i="29"/>
  <c r="BX87" i="29"/>
  <c r="BW87" i="29"/>
  <c r="BV87" i="29"/>
  <c r="BU87" i="29"/>
  <c r="BT87" i="29"/>
  <c r="BS87" i="29"/>
  <c r="BR87" i="29"/>
  <c r="BQ87" i="29"/>
  <c r="BP87" i="29"/>
  <c r="BO87" i="29"/>
  <c r="BN87" i="29"/>
  <c r="CC70" i="29"/>
  <c r="CB70" i="29"/>
  <c r="CA70" i="29"/>
  <c r="BZ70" i="29"/>
  <c r="BY70" i="29"/>
  <c r="BX70" i="29"/>
  <c r="BW70" i="29"/>
  <c r="BU70" i="29"/>
  <c r="BT70" i="29"/>
  <c r="BS70" i="29"/>
  <c r="BR70" i="29"/>
  <c r="BQ70" i="29"/>
  <c r="BP70" i="29"/>
  <c r="BO70" i="29"/>
  <c r="A33" i="31"/>
  <c r="B33" i="31"/>
  <c r="A34" i="31"/>
  <c r="B34" i="31"/>
  <c r="A35" i="31"/>
  <c r="B35" i="31"/>
  <c r="A36" i="31"/>
  <c r="B36" i="31"/>
  <c r="Z36" i="32" s="1"/>
  <c r="R36" i="32" s="1"/>
  <c r="L86" i="29" l="1"/>
  <c r="K76" i="29"/>
  <c r="L85" i="29"/>
  <c r="L39" i="31"/>
  <c r="J39" i="31" s="1"/>
  <c r="M83" i="31"/>
  <c r="BV70" i="29"/>
  <c r="BN70" i="29"/>
  <c r="BH61" i="29"/>
  <c r="BH63" i="29"/>
  <c r="B41" i="32"/>
  <c r="C41" i="32"/>
  <c r="D41" i="32"/>
  <c r="E41" i="32"/>
  <c r="F41" i="32"/>
  <c r="G41" i="32"/>
  <c r="H41" i="32"/>
  <c r="B42" i="32"/>
  <c r="C42" i="32"/>
  <c r="D42" i="32"/>
  <c r="E42" i="32"/>
  <c r="F42" i="32"/>
  <c r="G42" i="32"/>
  <c r="H42" i="32"/>
  <c r="B43" i="32"/>
  <c r="C43" i="32"/>
  <c r="D43" i="32"/>
  <c r="E43" i="32"/>
  <c r="F43" i="32"/>
  <c r="G43" i="32"/>
  <c r="H43" i="32"/>
  <c r="B44" i="32"/>
  <c r="C44" i="32"/>
  <c r="D44" i="32"/>
  <c r="E44" i="32"/>
  <c r="F44" i="32"/>
  <c r="G44" i="32"/>
  <c r="H44" i="32"/>
  <c r="K56" i="31" l="1"/>
  <c r="I56" i="31" s="1"/>
  <c r="K53" i="32"/>
  <c r="K86" i="29"/>
  <c r="K85" i="29"/>
  <c r="A43" i="31"/>
  <c r="B43" i="31"/>
  <c r="M61" i="29"/>
  <c r="N61" i="29"/>
  <c r="O61" i="29"/>
  <c r="P61" i="29"/>
  <c r="Q61" i="29"/>
  <c r="K38" i="32" l="1"/>
  <c r="K39" i="31"/>
  <c r="I39" i="31" s="1"/>
  <c r="L61" i="29"/>
  <c r="L43" i="31" s="1"/>
  <c r="J43" i="31" s="1"/>
  <c r="M72" i="29"/>
  <c r="N72" i="29"/>
  <c r="O72" i="29"/>
  <c r="P72" i="29"/>
  <c r="Q72" i="29"/>
  <c r="R71" i="29"/>
  <c r="X71" i="29"/>
  <c r="AD71" i="29"/>
  <c r="M63" i="29"/>
  <c r="N63" i="29"/>
  <c r="O63" i="29"/>
  <c r="P63" i="29"/>
  <c r="Q63" i="29"/>
  <c r="P82" i="29"/>
  <c r="P83" i="29"/>
  <c r="O82" i="29"/>
  <c r="O83" i="29"/>
  <c r="K61" i="29" l="1"/>
  <c r="K43" i="31" s="1"/>
  <c r="I43" i="31" s="1"/>
  <c r="L63" i="29"/>
  <c r="L72" i="29"/>
  <c r="A65" i="31"/>
  <c r="BB63" i="29"/>
  <c r="A49" i="31"/>
  <c r="K41" i="32" l="1"/>
  <c r="K63" i="29"/>
  <c r="K72" i="29"/>
  <c r="K42" i="32"/>
  <c r="K43" i="32"/>
  <c r="X12" i="32"/>
  <c r="T41" i="32"/>
  <c r="T42" i="32"/>
  <c r="T43" i="32"/>
  <c r="T44" i="32"/>
  <c r="AJ63" i="29"/>
  <c r="AV63" i="29"/>
  <c r="AP63" i="29"/>
  <c r="BB68" i="29"/>
  <c r="R79" i="29"/>
  <c r="X79" i="29"/>
  <c r="AP79" i="29"/>
  <c r="BB79" i="29"/>
  <c r="AD79" i="29"/>
  <c r="R81" i="29"/>
  <c r="R82" i="29"/>
  <c r="R83" i="29"/>
  <c r="R84" i="29"/>
  <c r="X82" i="29"/>
  <c r="X83" i="29"/>
  <c r="X84" i="29"/>
  <c r="BB82" i="29"/>
  <c r="BB83" i="29"/>
  <c r="AV82" i="29"/>
  <c r="AV83" i="29"/>
  <c r="AV84" i="29"/>
  <c r="AP82" i="29"/>
  <c r="AP83" i="29"/>
  <c r="AP84" i="29"/>
  <c r="BH82" i="29"/>
  <c r="BH83" i="29"/>
  <c r="BM87" i="29"/>
  <c r="BL87" i="29"/>
  <c r="BK87" i="29"/>
  <c r="BJ87" i="29"/>
  <c r="BI87" i="29"/>
  <c r="BG87" i="29"/>
  <c r="BF87" i="29"/>
  <c r="BE87" i="29"/>
  <c r="BD87" i="29"/>
  <c r="BC87" i="29"/>
  <c r="BA87" i="29"/>
  <c r="AZ87" i="29"/>
  <c r="AY87" i="29"/>
  <c r="AX87" i="29"/>
  <c r="AW87" i="29"/>
  <c r="AU87" i="29"/>
  <c r="AT87" i="29"/>
  <c r="AS87" i="29"/>
  <c r="AR87" i="29"/>
  <c r="AQ87" i="29"/>
  <c r="AO87" i="29"/>
  <c r="AN87" i="29"/>
  <c r="AM87" i="29"/>
  <c r="AL87" i="29"/>
  <c r="AK87" i="29"/>
  <c r="AI87" i="29"/>
  <c r="AH87" i="29"/>
  <c r="AG87" i="29"/>
  <c r="AF87" i="29"/>
  <c r="AE87" i="29"/>
  <c r="AC87" i="29"/>
  <c r="AB87" i="29"/>
  <c r="AA87" i="29"/>
  <c r="Z87" i="29"/>
  <c r="Y87" i="29"/>
  <c r="V87" i="29"/>
  <c r="W87" i="29"/>
  <c r="U87" i="29"/>
  <c r="T87" i="29"/>
  <c r="S87" i="29"/>
  <c r="R88" i="29"/>
  <c r="R89" i="29"/>
  <c r="X88" i="29"/>
  <c r="X89" i="29"/>
  <c r="AP88" i="29"/>
  <c r="AP89" i="29"/>
  <c r="AV88" i="29"/>
  <c r="AV89" i="29"/>
  <c r="BB88" i="29"/>
  <c r="BB89" i="29"/>
  <c r="BH88" i="29"/>
  <c r="BH89" i="29"/>
  <c r="AJ92" i="29"/>
  <c r="AJ91" i="29"/>
  <c r="AD91" i="29"/>
  <c r="AJ88" i="29"/>
  <c r="AJ89" i="29"/>
  <c r="AD88" i="29"/>
  <c r="AD89" i="29"/>
  <c r="AD82" i="29"/>
  <c r="AD83" i="29"/>
  <c r="M88" i="29"/>
  <c r="N88" i="29"/>
  <c r="O88" i="29"/>
  <c r="P88" i="29"/>
  <c r="Q88" i="29"/>
  <c r="M89" i="29"/>
  <c r="N89" i="29"/>
  <c r="O89" i="29"/>
  <c r="P89" i="29"/>
  <c r="Q89" i="29"/>
  <c r="B22" i="31"/>
  <c r="B11" i="31"/>
  <c r="B12" i="31"/>
  <c r="K44" i="32" l="1"/>
  <c r="R103" i="29"/>
  <c r="K39" i="32"/>
  <c r="L89" i="29"/>
  <c r="L88" i="29"/>
  <c r="K89" i="29" l="1"/>
  <c r="K64" i="32" s="1"/>
  <c r="L63" i="31"/>
  <c r="K88" i="29"/>
  <c r="K63" i="32" s="1"/>
  <c r="L62" i="31"/>
  <c r="U13" i="32"/>
  <c r="M13" i="32" s="1"/>
  <c r="V13" i="32"/>
  <c r="N13" i="32" s="1"/>
  <c r="W13" i="32"/>
  <c r="O13" i="32" s="1"/>
  <c r="X13" i="32"/>
  <c r="Y13" i="32"/>
  <c r="Q13" i="32" s="1"/>
  <c r="Z13" i="32"/>
  <c r="R13" i="32" s="1"/>
  <c r="U14" i="32"/>
  <c r="M14" i="32" s="1"/>
  <c r="V14" i="32"/>
  <c r="W14" i="32"/>
  <c r="O14" i="32" s="1"/>
  <c r="X14" i="32"/>
  <c r="P14" i="32" s="1"/>
  <c r="Y14" i="32"/>
  <c r="Q14" i="32" s="1"/>
  <c r="U15" i="32"/>
  <c r="M15" i="32" s="1"/>
  <c r="V15" i="32"/>
  <c r="N15" i="32" s="1"/>
  <c r="W15" i="32"/>
  <c r="O15" i="32" s="1"/>
  <c r="X15" i="32"/>
  <c r="P15" i="32" s="1"/>
  <c r="Y15" i="32"/>
  <c r="Q15" i="32" s="1"/>
  <c r="U16" i="32"/>
  <c r="V16" i="32"/>
  <c r="W16" i="32"/>
  <c r="X16" i="32"/>
  <c r="Y16" i="32"/>
  <c r="U17" i="32"/>
  <c r="M17" i="32" s="1"/>
  <c r="V17" i="32"/>
  <c r="N17" i="32" s="1"/>
  <c r="W17" i="32"/>
  <c r="O17" i="32" s="1"/>
  <c r="X17" i="32"/>
  <c r="P17" i="32" s="1"/>
  <c r="Y17" i="32"/>
  <c r="Q17" i="32" s="1"/>
  <c r="U18" i="32"/>
  <c r="M18" i="32" s="1"/>
  <c r="V18" i="32"/>
  <c r="N18" i="32" s="1"/>
  <c r="W18" i="32"/>
  <c r="O18" i="32" s="1"/>
  <c r="X18" i="32"/>
  <c r="P18" i="32" s="1"/>
  <c r="Y18" i="32"/>
  <c r="Q18" i="32" s="1"/>
  <c r="U19" i="32"/>
  <c r="V19" i="32"/>
  <c r="N19" i="32" s="1"/>
  <c r="W19" i="32"/>
  <c r="O19" i="32" s="1"/>
  <c r="X19" i="32"/>
  <c r="P19" i="32" s="1"/>
  <c r="Y19" i="32"/>
  <c r="U20" i="32"/>
  <c r="V20" i="32"/>
  <c r="W20" i="32"/>
  <c r="X20" i="32"/>
  <c r="Y20" i="32"/>
  <c r="U21" i="32"/>
  <c r="V21" i="32"/>
  <c r="W21" i="32"/>
  <c r="X21" i="32"/>
  <c r="Y21" i="32"/>
  <c r="U22" i="32"/>
  <c r="M22" i="32" s="1"/>
  <c r="V22" i="32"/>
  <c r="W22" i="32"/>
  <c r="O22" i="32" s="1"/>
  <c r="X22" i="32"/>
  <c r="P22" i="32" s="1"/>
  <c r="Y22" i="32"/>
  <c r="Q22" i="32" s="1"/>
  <c r="U23" i="32"/>
  <c r="M23" i="32" s="1"/>
  <c r="V23" i="32"/>
  <c r="N23" i="32" s="1"/>
  <c r="W23" i="32"/>
  <c r="O23" i="32" s="1"/>
  <c r="X23" i="32"/>
  <c r="P23" i="32" s="1"/>
  <c r="Y23" i="32"/>
  <c r="Q23" i="32" s="1"/>
  <c r="Z23" i="32"/>
  <c r="R23" i="32" s="1"/>
  <c r="U24" i="32"/>
  <c r="M24" i="32" s="1"/>
  <c r="V24" i="32"/>
  <c r="W24" i="32"/>
  <c r="O24" i="32" s="1"/>
  <c r="X24" i="32"/>
  <c r="P24" i="32" s="1"/>
  <c r="Y24" i="32"/>
  <c r="Q24" i="32" s="1"/>
  <c r="U25" i="32"/>
  <c r="M25" i="32" s="1"/>
  <c r="V25" i="32"/>
  <c r="N25" i="32" s="1"/>
  <c r="W25" i="32"/>
  <c r="O25" i="32" s="1"/>
  <c r="X25" i="32"/>
  <c r="P25" i="32" s="1"/>
  <c r="Y25" i="32"/>
  <c r="U26" i="32"/>
  <c r="M26" i="32" s="1"/>
  <c r="V26" i="32"/>
  <c r="N26" i="32" s="1"/>
  <c r="W26" i="32"/>
  <c r="O26" i="32" s="1"/>
  <c r="X26" i="32"/>
  <c r="P26" i="32" s="1"/>
  <c r="Y26" i="32"/>
  <c r="Q26" i="32" s="1"/>
  <c r="U27" i="32"/>
  <c r="V27" i="32"/>
  <c r="N27" i="32" s="1"/>
  <c r="W27" i="32"/>
  <c r="O27" i="32" s="1"/>
  <c r="X27" i="32"/>
  <c r="P27" i="32" s="1"/>
  <c r="Y27" i="32"/>
  <c r="Q27" i="32" s="1"/>
  <c r="U28" i="32"/>
  <c r="M28" i="32" s="1"/>
  <c r="V28" i="32"/>
  <c r="N28" i="32" s="1"/>
  <c r="W28" i="32"/>
  <c r="O28" i="32" s="1"/>
  <c r="X28" i="32"/>
  <c r="P28" i="32" s="1"/>
  <c r="Y28" i="32"/>
  <c r="Q28" i="32" s="1"/>
  <c r="U29" i="32"/>
  <c r="M29" i="32" s="1"/>
  <c r="V29" i="32"/>
  <c r="N29" i="32" s="1"/>
  <c r="W29" i="32"/>
  <c r="O29" i="32" s="1"/>
  <c r="X29" i="32"/>
  <c r="P29" i="32" s="1"/>
  <c r="Y29" i="32"/>
  <c r="Q29" i="32" s="1"/>
  <c r="U30" i="32"/>
  <c r="V30" i="32"/>
  <c r="W30" i="32"/>
  <c r="X30" i="32"/>
  <c r="Y30" i="32"/>
  <c r="U31" i="32"/>
  <c r="V31" i="32"/>
  <c r="W31" i="32"/>
  <c r="X31" i="32"/>
  <c r="Y31" i="32"/>
  <c r="U32" i="32"/>
  <c r="M32" i="32" s="1"/>
  <c r="V32" i="32"/>
  <c r="N32" i="32" s="1"/>
  <c r="W32" i="32"/>
  <c r="X32" i="32"/>
  <c r="P32" i="32" s="1"/>
  <c r="Y32" i="32"/>
  <c r="Q32" i="32" s="1"/>
  <c r="U33" i="32"/>
  <c r="M33" i="32" s="1"/>
  <c r="V33" i="32"/>
  <c r="N33" i="32" s="1"/>
  <c r="W33" i="32"/>
  <c r="O33" i="32" s="1"/>
  <c r="X33" i="32"/>
  <c r="P33" i="32" s="1"/>
  <c r="Y33" i="32"/>
  <c r="Q33" i="32" s="1"/>
  <c r="U34" i="32"/>
  <c r="M34" i="32" s="1"/>
  <c r="V34" i="32"/>
  <c r="N34" i="32" s="1"/>
  <c r="W34" i="32"/>
  <c r="O34" i="32" s="1"/>
  <c r="X34" i="32"/>
  <c r="P34" i="32" s="1"/>
  <c r="Y34" i="32"/>
  <c r="U35" i="32"/>
  <c r="M35" i="32" s="1"/>
  <c r="V35" i="32"/>
  <c r="N35" i="32" s="1"/>
  <c r="W35" i="32"/>
  <c r="O35" i="32" s="1"/>
  <c r="X35" i="32"/>
  <c r="P35" i="32" s="1"/>
  <c r="Y35" i="32"/>
  <c r="Q35" i="32" s="1"/>
  <c r="U40" i="32"/>
  <c r="M40" i="32" s="1"/>
  <c r="V40" i="32"/>
  <c r="N40" i="32" s="1"/>
  <c r="W40" i="32"/>
  <c r="O40" i="32" s="1"/>
  <c r="X40" i="32"/>
  <c r="P40" i="32" s="1"/>
  <c r="Y40" i="32"/>
  <c r="Q40" i="32" s="1"/>
  <c r="U41" i="32"/>
  <c r="V41" i="32"/>
  <c r="W41" i="32"/>
  <c r="X41" i="32"/>
  <c r="Y41" i="32"/>
  <c r="U42" i="32"/>
  <c r="V42" i="32"/>
  <c r="N42" i="32" s="1"/>
  <c r="W42" i="32"/>
  <c r="O42" i="32" s="1"/>
  <c r="X42" i="32"/>
  <c r="Y42" i="32"/>
  <c r="U43" i="32"/>
  <c r="V43" i="32"/>
  <c r="N43" i="32" s="1"/>
  <c r="W43" i="32"/>
  <c r="O43" i="32" s="1"/>
  <c r="X43" i="32"/>
  <c r="Y43" i="32"/>
  <c r="U44" i="32"/>
  <c r="V44" i="32"/>
  <c r="N44" i="32" s="1"/>
  <c r="W44" i="32"/>
  <c r="O44" i="32" s="1"/>
  <c r="X44" i="32"/>
  <c r="Y44" i="32"/>
  <c r="U45" i="32"/>
  <c r="M45" i="32" s="1"/>
  <c r="V45" i="32"/>
  <c r="N45" i="32" s="1"/>
  <c r="W45" i="32"/>
  <c r="O45" i="32" s="1"/>
  <c r="X45" i="32"/>
  <c r="P45" i="32" s="1"/>
  <c r="Y45" i="32"/>
  <c r="Q45" i="32" s="1"/>
  <c r="U46" i="32"/>
  <c r="M46" i="32" s="1"/>
  <c r="V46" i="32"/>
  <c r="N46" i="32" s="1"/>
  <c r="W46" i="32"/>
  <c r="X46" i="32"/>
  <c r="P46" i="32" s="1"/>
  <c r="Y46" i="32"/>
  <c r="Q46" i="32" s="1"/>
  <c r="U47" i="32"/>
  <c r="M47" i="32" s="1"/>
  <c r="V47" i="32"/>
  <c r="N47" i="32" s="1"/>
  <c r="W47" i="32"/>
  <c r="O47" i="32" s="1"/>
  <c r="X47" i="32"/>
  <c r="P47" i="32" s="1"/>
  <c r="Y47" i="32"/>
  <c r="Q47" i="32" s="1"/>
  <c r="U48" i="32"/>
  <c r="M48" i="32" s="1"/>
  <c r="V48" i="32"/>
  <c r="N48" i="32" s="1"/>
  <c r="W48" i="32"/>
  <c r="X48" i="32"/>
  <c r="P48" i="32" s="1"/>
  <c r="Y48" i="32"/>
  <c r="Q48" i="32" s="1"/>
  <c r="U49" i="32"/>
  <c r="M49" i="32" s="1"/>
  <c r="V49" i="32"/>
  <c r="N49" i="32" s="1"/>
  <c r="W49" i="32"/>
  <c r="O49" i="32" s="1"/>
  <c r="X49" i="32"/>
  <c r="P49" i="32" s="1"/>
  <c r="Y49" i="32"/>
  <c r="Q49" i="32" s="1"/>
  <c r="U50" i="32"/>
  <c r="V50" i="32"/>
  <c r="W50" i="32"/>
  <c r="X50" i="32"/>
  <c r="Y50" i="32"/>
  <c r="U51" i="32"/>
  <c r="V51" i="32"/>
  <c r="W51" i="32"/>
  <c r="X51" i="32"/>
  <c r="Y51" i="32"/>
  <c r="U52" i="32"/>
  <c r="M52" i="32" s="1"/>
  <c r="V52" i="32"/>
  <c r="N52" i="32" s="1"/>
  <c r="W52" i="32"/>
  <c r="O52" i="32" s="1"/>
  <c r="X52" i="32"/>
  <c r="P52" i="32" s="1"/>
  <c r="Y52" i="32"/>
  <c r="Q52" i="32" s="1"/>
  <c r="U57" i="32"/>
  <c r="V57" i="32"/>
  <c r="W57" i="32"/>
  <c r="X57" i="32"/>
  <c r="Y57" i="32"/>
  <c r="U58" i="32"/>
  <c r="M58" i="32" s="1"/>
  <c r="V58" i="32"/>
  <c r="N58" i="32" s="1"/>
  <c r="W58" i="32"/>
  <c r="O58" i="32" s="1"/>
  <c r="X58" i="32"/>
  <c r="P58" i="32" s="1"/>
  <c r="Y58" i="32"/>
  <c r="Q58" i="32" s="1"/>
  <c r="U59" i="32"/>
  <c r="V59" i="32"/>
  <c r="N59" i="32" s="1"/>
  <c r="W59" i="32"/>
  <c r="O59" i="32" s="1"/>
  <c r="X59" i="32"/>
  <c r="Y59" i="32"/>
  <c r="U60" i="32"/>
  <c r="V60" i="32"/>
  <c r="N60" i="32" s="1"/>
  <c r="W60" i="32"/>
  <c r="O60" i="32" s="1"/>
  <c r="X60" i="32"/>
  <c r="Y60" i="32"/>
  <c r="U61" i="32"/>
  <c r="V61" i="32"/>
  <c r="W61" i="32"/>
  <c r="X61" i="32"/>
  <c r="Y61" i="32"/>
  <c r="U62" i="32"/>
  <c r="V62" i="32"/>
  <c r="W62" i="32"/>
  <c r="X62" i="32"/>
  <c r="Y62" i="32"/>
  <c r="N62" i="32"/>
  <c r="O62" i="32"/>
  <c r="P62" i="32"/>
  <c r="Q62" i="32"/>
  <c r="U65" i="32"/>
  <c r="V65" i="32"/>
  <c r="W65" i="32"/>
  <c r="X65" i="32"/>
  <c r="Y65" i="32"/>
  <c r="U66" i="32"/>
  <c r="M66" i="32" s="1"/>
  <c r="V66" i="32"/>
  <c r="N66" i="32" s="1"/>
  <c r="W66" i="32"/>
  <c r="O66" i="32" s="1"/>
  <c r="X66" i="32"/>
  <c r="P66" i="32" s="1"/>
  <c r="Y66" i="32"/>
  <c r="Q66" i="32" s="1"/>
  <c r="U67" i="32"/>
  <c r="M67" i="32" s="1"/>
  <c r="V67" i="32"/>
  <c r="N67" i="32" s="1"/>
  <c r="W67" i="32"/>
  <c r="O67" i="32" s="1"/>
  <c r="X67" i="32"/>
  <c r="P67" i="32" s="1"/>
  <c r="Y67" i="32"/>
  <c r="Q67" i="32" s="1"/>
  <c r="V12" i="32"/>
  <c r="N12" i="32" s="1"/>
  <c r="W12" i="32"/>
  <c r="O12" i="32" s="1"/>
  <c r="Y12" i="32"/>
  <c r="Q12" i="32" s="1"/>
  <c r="U12" i="32"/>
  <c r="M12" i="32" s="1"/>
  <c r="H67" i="32"/>
  <c r="G67" i="32"/>
  <c r="F67" i="32"/>
  <c r="E67" i="32"/>
  <c r="D67" i="32"/>
  <c r="C67" i="32"/>
  <c r="B67" i="32"/>
  <c r="H66" i="32"/>
  <c r="G66" i="32"/>
  <c r="F66" i="32"/>
  <c r="E66" i="32"/>
  <c r="D66" i="32"/>
  <c r="C66" i="32"/>
  <c r="B66" i="32"/>
  <c r="H64" i="32"/>
  <c r="G64" i="32"/>
  <c r="F64" i="32"/>
  <c r="E64" i="32"/>
  <c r="D64" i="32"/>
  <c r="C64" i="32"/>
  <c r="B64" i="32"/>
  <c r="H63" i="32"/>
  <c r="G63" i="32"/>
  <c r="F63" i="32"/>
  <c r="E63" i="32"/>
  <c r="D63" i="32"/>
  <c r="C63" i="32"/>
  <c r="B63" i="32"/>
  <c r="H61" i="32"/>
  <c r="G61" i="32"/>
  <c r="F61" i="32"/>
  <c r="E61" i="32"/>
  <c r="D61" i="32"/>
  <c r="C61" i="32"/>
  <c r="B61" i="32"/>
  <c r="H60" i="32"/>
  <c r="G60" i="32"/>
  <c r="F60" i="32"/>
  <c r="E60" i="32"/>
  <c r="D60" i="32"/>
  <c r="C60" i="32"/>
  <c r="B60" i="32"/>
  <c r="H59" i="32"/>
  <c r="G59" i="32"/>
  <c r="F59" i="32"/>
  <c r="E59" i="32"/>
  <c r="D59" i="32"/>
  <c r="C59" i="32"/>
  <c r="B59" i="32"/>
  <c r="H58" i="32"/>
  <c r="G58" i="32"/>
  <c r="F58" i="32"/>
  <c r="E58" i="32"/>
  <c r="D58" i="32"/>
  <c r="C58" i="32"/>
  <c r="B58" i="32"/>
  <c r="H52" i="32"/>
  <c r="G52" i="32"/>
  <c r="F52" i="32"/>
  <c r="E52" i="32"/>
  <c r="D52" i="32"/>
  <c r="C52" i="32"/>
  <c r="B52" i="32"/>
  <c r="H50" i="32"/>
  <c r="G50" i="32"/>
  <c r="F50" i="32"/>
  <c r="E50" i="32"/>
  <c r="D50" i="32"/>
  <c r="C50" i="32"/>
  <c r="B50" i="32"/>
  <c r="H49" i="32"/>
  <c r="G49" i="32"/>
  <c r="F49" i="32"/>
  <c r="E49" i="32"/>
  <c r="D49" i="32"/>
  <c r="C49" i="32"/>
  <c r="B49" i="32"/>
  <c r="H47" i="32"/>
  <c r="G47" i="32"/>
  <c r="F47" i="32"/>
  <c r="E47" i="32"/>
  <c r="D47" i="32"/>
  <c r="C47" i="32"/>
  <c r="B47" i="32"/>
  <c r="H46" i="32"/>
  <c r="G46" i="32"/>
  <c r="F46" i="32"/>
  <c r="E46" i="32"/>
  <c r="D46" i="32"/>
  <c r="C46" i="32"/>
  <c r="B46" i="32"/>
  <c r="H35" i="32"/>
  <c r="G35" i="32"/>
  <c r="F35" i="32"/>
  <c r="E35" i="32"/>
  <c r="D35" i="32"/>
  <c r="C35" i="32"/>
  <c r="B35" i="32"/>
  <c r="H34" i="32"/>
  <c r="G34" i="32"/>
  <c r="F34" i="32"/>
  <c r="E34" i="32"/>
  <c r="D34" i="32"/>
  <c r="C34" i="32"/>
  <c r="B34" i="32"/>
  <c r="H33" i="32"/>
  <c r="G33" i="32"/>
  <c r="F33" i="32"/>
  <c r="E33" i="32"/>
  <c r="D33" i="32"/>
  <c r="C33" i="32"/>
  <c r="B33" i="32"/>
  <c r="H32" i="32"/>
  <c r="G32" i="32"/>
  <c r="F32" i="32"/>
  <c r="E32" i="32"/>
  <c r="D32" i="32"/>
  <c r="C32" i="32"/>
  <c r="B32" i="32"/>
  <c r="H22" i="32"/>
  <c r="G22" i="32"/>
  <c r="F22" i="32"/>
  <c r="E22" i="32"/>
  <c r="D22" i="32"/>
  <c r="C22" i="32"/>
  <c r="B22" i="32"/>
  <c r="B18" i="32"/>
  <c r="C18" i="32"/>
  <c r="D18" i="32"/>
  <c r="E18" i="32"/>
  <c r="F18" i="32"/>
  <c r="G18" i="32"/>
  <c r="H18" i="32"/>
  <c r="B19" i="32"/>
  <c r="C19" i="32"/>
  <c r="D19" i="32"/>
  <c r="E19" i="32"/>
  <c r="F19" i="32"/>
  <c r="G19" i="32"/>
  <c r="H19" i="32"/>
  <c r="H17" i="32"/>
  <c r="G17" i="32"/>
  <c r="F17" i="32"/>
  <c r="E17" i="32"/>
  <c r="D17" i="32"/>
  <c r="C17" i="32"/>
  <c r="B17" i="32"/>
  <c r="B13" i="32"/>
  <c r="C13" i="32"/>
  <c r="D13" i="32"/>
  <c r="E13" i="32"/>
  <c r="F13" i="32"/>
  <c r="G13" i="32"/>
  <c r="H13" i="32"/>
  <c r="B14" i="32"/>
  <c r="C14" i="32"/>
  <c r="D14" i="32"/>
  <c r="E14" i="32"/>
  <c r="F14" i="32"/>
  <c r="G14" i="32"/>
  <c r="H14" i="32"/>
  <c r="B15" i="32"/>
  <c r="C15" i="32"/>
  <c r="D15" i="32"/>
  <c r="E15" i="32"/>
  <c r="F15" i="32"/>
  <c r="G15" i="32"/>
  <c r="H15" i="32"/>
  <c r="C12" i="32"/>
  <c r="D12" i="32"/>
  <c r="E12" i="32"/>
  <c r="F12" i="32"/>
  <c r="G12" i="32"/>
  <c r="H12" i="32"/>
  <c r="B12" i="32"/>
  <c r="K50" i="32"/>
  <c r="S67" i="32"/>
  <c r="S66" i="32"/>
  <c r="S62" i="32"/>
  <c r="S61" i="32"/>
  <c r="R61" i="32"/>
  <c r="Q61" i="32"/>
  <c r="P61" i="32"/>
  <c r="M61" i="32"/>
  <c r="S60" i="32"/>
  <c r="S59" i="32"/>
  <c r="S58" i="32"/>
  <c r="S52" i="32"/>
  <c r="S51" i="32" s="1"/>
  <c r="S49" i="32"/>
  <c r="S48" i="32"/>
  <c r="O48" i="32"/>
  <c r="J48" i="32"/>
  <c r="S47" i="32"/>
  <c r="S46" i="32"/>
  <c r="O46" i="32"/>
  <c r="S45" i="32"/>
  <c r="S44" i="32"/>
  <c r="S43" i="32"/>
  <c r="S42" i="32"/>
  <c r="S40" i="32"/>
  <c r="S35" i="32"/>
  <c r="S34" i="32"/>
  <c r="Q34" i="32"/>
  <c r="S33" i="32"/>
  <c r="S32" i="32"/>
  <c r="S31" i="32" s="1"/>
  <c r="O32" i="32"/>
  <c r="S29" i="32"/>
  <c r="S28" i="32"/>
  <c r="S27" i="32"/>
  <c r="M27" i="32"/>
  <c r="S26" i="32"/>
  <c r="S25" i="32"/>
  <c r="S24" i="32"/>
  <c r="N24" i="32"/>
  <c r="S23" i="32"/>
  <c r="S22" i="32"/>
  <c r="S21" i="32" s="1"/>
  <c r="N22" i="32"/>
  <c r="S19" i="32"/>
  <c r="Q19" i="32"/>
  <c r="M19" i="32"/>
  <c r="S18" i="32"/>
  <c r="S17" i="32"/>
  <c r="S16" i="32" s="1"/>
  <c r="S15" i="32"/>
  <c r="S14" i="32"/>
  <c r="N14" i="32"/>
  <c r="S13" i="32"/>
  <c r="P13" i="32"/>
  <c r="S12" i="32"/>
  <c r="P12" i="32"/>
  <c r="K63" i="31" l="1"/>
  <c r="K62" i="31"/>
  <c r="L14" i="32"/>
  <c r="Q57" i="32"/>
  <c r="P57" i="32"/>
  <c r="N51" i="32"/>
  <c r="S30" i="32"/>
  <c r="S20" i="32" s="1"/>
  <c r="L28" i="32"/>
  <c r="L66" i="32"/>
  <c r="O11" i="32"/>
  <c r="L48" i="32"/>
  <c r="O31" i="32"/>
  <c r="O30" i="32" s="1"/>
  <c r="O16" i="32"/>
  <c r="Q16" i="32"/>
  <c r="P21" i="32"/>
  <c r="L42" i="32"/>
  <c r="L12" i="32"/>
  <c r="M16" i="32"/>
  <c r="L22" i="32"/>
  <c r="O21" i="32"/>
  <c r="O20" i="32" s="1"/>
  <c r="Q21" i="32"/>
  <c r="N21" i="32"/>
  <c r="L32" i="32"/>
  <c r="Q31" i="32"/>
  <c r="Q30" i="32" s="1"/>
  <c r="L34" i="32"/>
  <c r="L43" i="32"/>
  <c r="P51" i="32"/>
  <c r="O61" i="32"/>
  <c r="O57" i="32" s="1"/>
  <c r="L25" i="32"/>
  <c r="L26" i="32"/>
  <c r="L29" i="32"/>
  <c r="M31" i="32"/>
  <c r="M30" i="32" s="1"/>
  <c r="L35" i="32"/>
  <c r="L47" i="32"/>
  <c r="L49" i="32"/>
  <c r="L52" i="32"/>
  <c r="O51" i="32"/>
  <c r="Q51" i="32"/>
  <c r="L58" i="32"/>
  <c r="L62" i="32"/>
  <c r="N16" i="32"/>
  <c r="P16" i="32"/>
  <c r="L18" i="32"/>
  <c r="L23" i="32"/>
  <c r="N31" i="32"/>
  <c r="N30" i="32" s="1"/>
  <c r="P31" i="32"/>
  <c r="P30" i="32" s="1"/>
  <c r="M65" i="32"/>
  <c r="Q65" i="32"/>
  <c r="S11" i="32"/>
  <c r="L40" i="32"/>
  <c r="L44" i="32"/>
  <c r="L46" i="32"/>
  <c r="M57" i="32"/>
  <c r="L59" i="32"/>
  <c r="S57" i="32"/>
  <c r="M62" i="32"/>
  <c r="O65" i="32"/>
  <c r="S65" i="32"/>
  <c r="P65" i="32"/>
  <c r="N65" i="32"/>
  <c r="L13" i="32"/>
  <c r="N11" i="32"/>
  <c r="P11" i="32"/>
  <c r="Q11" i="32"/>
  <c r="L17" i="32"/>
  <c r="L19" i="32"/>
  <c r="M21" i="32"/>
  <c r="L24" i="32"/>
  <c r="L27" i="32"/>
  <c r="L33" i="32"/>
  <c r="L45" i="32"/>
  <c r="M51" i="32"/>
  <c r="L60" i="32"/>
  <c r="N61" i="32"/>
  <c r="N57" i="32" s="1"/>
  <c r="L67" i="32"/>
  <c r="L15" i="32"/>
  <c r="M11" i="32"/>
  <c r="Z44" i="32"/>
  <c r="A45" i="31"/>
  <c r="BA10" i="31"/>
  <c r="AZ10" i="31"/>
  <c r="BA15" i="31"/>
  <c r="AZ15" i="31"/>
  <c r="BA20" i="31"/>
  <c r="AZ20" i="31"/>
  <c r="BA19" i="31"/>
  <c r="AZ19" i="31"/>
  <c r="BA29" i="31"/>
  <c r="AZ29" i="31"/>
  <c r="BA30" i="31"/>
  <c r="AZ30" i="31"/>
  <c r="BA32" i="31"/>
  <c r="AZ32" i="31"/>
  <c r="BA28" i="31"/>
  <c r="AZ28" i="31"/>
  <c r="BA27" i="31"/>
  <c r="AZ27" i="31"/>
  <c r="BA26" i="31"/>
  <c r="AZ26" i="31"/>
  <c r="BA25" i="31"/>
  <c r="AZ25" i="31"/>
  <c r="BA24" i="31"/>
  <c r="AZ24" i="31"/>
  <c r="BA23" i="31"/>
  <c r="AZ23" i="31"/>
  <c r="BA22" i="31"/>
  <c r="AZ22" i="31"/>
  <c r="BA21" i="31"/>
  <c r="AZ21" i="31"/>
  <c r="AZ17" i="31"/>
  <c r="BA17" i="31"/>
  <c r="AZ18" i="31"/>
  <c r="BA18" i="31"/>
  <c r="BA16" i="31"/>
  <c r="AZ16" i="31"/>
  <c r="AZ12" i="31"/>
  <c r="BA12" i="31"/>
  <c r="AZ13" i="31"/>
  <c r="BA13" i="31"/>
  <c r="AZ14" i="31"/>
  <c r="BA14" i="31"/>
  <c r="AZ11" i="31"/>
  <c r="BA11" i="31"/>
  <c r="P20" i="32" l="1"/>
  <c r="P10" i="32" s="1"/>
  <c r="N20" i="32"/>
  <c r="N10" i="32" s="1"/>
  <c r="L61" i="32"/>
  <c r="L57" i="32" s="1"/>
  <c r="S10" i="32"/>
  <c r="L11" i="32"/>
  <c r="M20" i="32"/>
  <c r="M10" i="32" s="1"/>
  <c r="O10" i="32"/>
  <c r="L65" i="32"/>
  <c r="L31" i="32"/>
  <c r="L30" i="32" s="1"/>
  <c r="Q20" i="32"/>
  <c r="Q10" i="32" s="1"/>
  <c r="L51" i="32"/>
  <c r="L21" i="32"/>
  <c r="L16" i="32"/>
  <c r="L20" i="32" l="1"/>
  <c r="L10" i="32" s="1"/>
  <c r="A70" i="31"/>
  <c r="A69" i="31"/>
  <c r="AR62" i="31"/>
  <c r="AL62" i="31"/>
  <c r="AF62" i="31"/>
  <c r="Z62" i="31"/>
  <c r="Z67" i="32"/>
  <c r="R67" i="32" s="1"/>
  <c r="A66" i="31"/>
  <c r="Z66" i="32"/>
  <c r="R66" i="32" s="1"/>
  <c r="R65" i="32" s="1"/>
  <c r="B64" i="31"/>
  <c r="Z65" i="32" s="1"/>
  <c r="A64" i="31"/>
  <c r="B63" i="31"/>
  <c r="Z64" i="32" s="1"/>
  <c r="A63" i="31"/>
  <c r="B62" i="31"/>
  <c r="Z63" i="32" s="1"/>
  <c r="A62" i="31"/>
  <c r="A61" i="31"/>
  <c r="B61" i="31"/>
  <c r="Z62" i="32" s="1"/>
  <c r="Z59" i="32"/>
  <c r="Z60" i="32"/>
  <c r="Z61" i="32"/>
  <c r="Z58" i="32"/>
  <c r="R58" i="32" s="1"/>
  <c r="R57" i="32" s="1"/>
  <c r="B60" i="31"/>
  <c r="Z57" i="32" s="1"/>
  <c r="A60" i="31"/>
  <c r="B55" i="31"/>
  <c r="Z52" i="32" s="1"/>
  <c r="R52" i="32" s="1"/>
  <c r="R51" i="32" s="1"/>
  <c r="A55" i="31"/>
  <c r="B54" i="31"/>
  <c r="Z51" i="32" s="1"/>
  <c r="A53" i="31"/>
  <c r="AE51" i="31"/>
  <c r="AD51" i="31"/>
  <c r="AC51" i="31"/>
  <c r="AB51" i="31"/>
  <c r="AA51" i="31"/>
  <c r="AK51" i="31"/>
  <c r="AJ51" i="31"/>
  <c r="AI51" i="31"/>
  <c r="AH51" i="31"/>
  <c r="AG51" i="31"/>
  <c r="AQ51" i="31"/>
  <c r="AP51" i="31"/>
  <c r="AO51" i="31"/>
  <c r="AN51" i="31"/>
  <c r="AM51" i="31"/>
  <c r="AT51" i="31"/>
  <c r="AU51" i="31"/>
  <c r="AV51" i="31"/>
  <c r="AW51" i="31"/>
  <c r="AX51" i="31"/>
  <c r="AY51" i="31"/>
  <c r="AS51" i="31"/>
  <c r="AR52" i="31"/>
  <c r="AL52" i="31"/>
  <c r="Z50" i="32"/>
  <c r="B52" i="31"/>
  <c r="Z49" i="32" s="1"/>
  <c r="R49" i="32" s="1"/>
  <c r="AF52" i="31"/>
  <c r="Z52" i="31"/>
  <c r="A52" i="31"/>
  <c r="A51" i="31"/>
  <c r="B51" i="31"/>
  <c r="Z48" i="32" s="1"/>
  <c r="R48" i="32" s="1"/>
  <c r="AL49" i="31"/>
  <c r="A50" i="31"/>
  <c r="B48" i="31"/>
  <c r="Z46" i="32" s="1"/>
  <c r="R46" i="32" s="1"/>
  <c r="B49" i="31"/>
  <c r="AR49" i="31"/>
  <c r="AF49" i="31"/>
  <c r="Z49" i="31"/>
  <c r="A46" i="31"/>
  <c r="A48" i="31"/>
  <c r="B46" i="31"/>
  <c r="Z45" i="32" s="1"/>
  <c r="R45" i="32" s="1"/>
  <c r="AR28" i="31"/>
  <c r="AL28" i="31"/>
  <c r="AF28" i="31"/>
  <c r="Z28" i="31"/>
  <c r="A28" i="31"/>
  <c r="B28" i="31"/>
  <c r="Z29" i="32" s="1"/>
  <c r="R29" i="32" s="1"/>
  <c r="Z41" i="32"/>
  <c r="Z42" i="32"/>
  <c r="Z43" i="32"/>
  <c r="B41" i="31"/>
  <c r="Z40" i="32" s="1"/>
  <c r="R40" i="32" s="1"/>
  <c r="A41" i="31"/>
  <c r="A40" i="31"/>
  <c r="B32" i="31"/>
  <c r="Z32" i="32" s="1"/>
  <c r="R32" i="32" s="1"/>
  <c r="R31" i="32" s="1"/>
  <c r="Z33" i="32"/>
  <c r="R33" i="32" s="1"/>
  <c r="Z34" i="32"/>
  <c r="R34" i="32" s="1"/>
  <c r="Z35" i="32"/>
  <c r="R35" i="32" s="1"/>
  <c r="BH72" i="29"/>
  <c r="BB72" i="29"/>
  <c r="BM70" i="29"/>
  <c r="BL70" i="29"/>
  <c r="BK70" i="29"/>
  <c r="BJ70" i="29"/>
  <c r="BI70" i="29"/>
  <c r="BG70" i="29"/>
  <c r="BF70" i="29"/>
  <c r="BE70" i="29"/>
  <c r="BD70" i="29"/>
  <c r="BC70" i="29"/>
  <c r="AV72" i="29"/>
  <c r="BA70" i="29"/>
  <c r="AZ70" i="29"/>
  <c r="AY70" i="29"/>
  <c r="AX70" i="29"/>
  <c r="AW70" i="29"/>
  <c r="AU70" i="29"/>
  <c r="AT70" i="29"/>
  <c r="AS70" i="29"/>
  <c r="AR70" i="29"/>
  <c r="AQ70" i="29"/>
  <c r="AP72" i="29"/>
  <c r="AJ72" i="29"/>
  <c r="AO70" i="29"/>
  <c r="AN70" i="29"/>
  <c r="AM70" i="29"/>
  <c r="AL70" i="29"/>
  <c r="AK70" i="29"/>
  <c r="AD72" i="29"/>
  <c r="AI70" i="29"/>
  <c r="AH70" i="29"/>
  <c r="AG70" i="29"/>
  <c r="AF70" i="29"/>
  <c r="AE70" i="29"/>
  <c r="AC70" i="29"/>
  <c r="AB70" i="29"/>
  <c r="AA70" i="29"/>
  <c r="Z70" i="29"/>
  <c r="Y70" i="29"/>
  <c r="X72" i="29"/>
  <c r="R72" i="29"/>
  <c r="S70" i="29"/>
  <c r="T70" i="29"/>
  <c r="U70" i="29"/>
  <c r="V70" i="29"/>
  <c r="W70" i="29"/>
  <c r="BV71" i="29"/>
  <c r="BN71" i="29"/>
  <c r="BH71" i="29"/>
  <c r="BB71" i="29"/>
  <c r="AV71" i="29"/>
  <c r="AP71" i="29"/>
  <c r="AJ71" i="29"/>
  <c r="Q71" i="29"/>
  <c r="P71" i="29"/>
  <c r="O71" i="29"/>
  <c r="N71" i="29"/>
  <c r="M71" i="29"/>
  <c r="BV68" i="29"/>
  <c r="BN68" i="29"/>
  <c r="AV68" i="29"/>
  <c r="AP68" i="29"/>
  <c r="AJ68" i="29"/>
  <c r="AD68" i="29"/>
  <c r="X68" i="29"/>
  <c r="R68" i="29"/>
  <c r="Q68" i="29"/>
  <c r="P68" i="29"/>
  <c r="O68" i="29"/>
  <c r="N68" i="29"/>
  <c r="M68" i="29"/>
  <c r="BM38" i="29"/>
  <c r="BV46" i="29"/>
  <c r="BN46" i="29"/>
  <c r="BH46" i="29"/>
  <c r="BB46" i="29"/>
  <c r="AV46" i="29"/>
  <c r="AP46" i="29"/>
  <c r="AJ46" i="29"/>
  <c r="AD46" i="29"/>
  <c r="X46" i="29"/>
  <c r="R46" i="29"/>
  <c r="Q46" i="29"/>
  <c r="P46" i="29"/>
  <c r="O46" i="29"/>
  <c r="N46" i="29"/>
  <c r="M46" i="29"/>
  <c r="BM48" i="29"/>
  <c r="BV55" i="29"/>
  <c r="BN55" i="29"/>
  <c r="BB55" i="29"/>
  <c r="AV55" i="29"/>
  <c r="AP55" i="29"/>
  <c r="AJ55" i="29"/>
  <c r="AD55" i="29"/>
  <c r="X55" i="29"/>
  <c r="R55" i="29"/>
  <c r="Q55" i="29"/>
  <c r="P55" i="29"/>
  <c r="O55" i="29"/>
  <c r="N55" i="29"/>
  <c r="M55" i="29"/>
  <c r="B30" i="31"/>
  <c r="Z31" i="32" s="1"/>
  <c r="A30" i="31"/>
  <c r="A32" i="31"/>
  <c r="A29" i="31"/>
  <c r="B29" i="31"/>
  <c r="Z30" i="32" s="1"/>
  <c r="B19" i="31"/>
  <c r="Z20" i="32" s="1"/>
  <c r="B20" i="31"/>
  <c r="Z21" i="32" s="1"/>
  <c r="B21" i="31"/>
  <c r="Z22" i="32" s="1"/>
  <c r="R22" i="32" s="1"/>
  <c r="R21" i="32" s="1"/>
  <c r="B23" i="31"/>
  <c r="Z24" i="32" s="1"/>
  <c r="R24" i="32" s="1"/>
  <c r="B24" i="31"/>
  <c r="Z25" i="32" s="1"/>
  <c r="R25" i="32" s="1"/>
  <c r="B25" i="31"/>
  <c r="Z26" i="32" s="1"/>
  <c r="R26" i="32" s="1"/>
  <c r="B26" i="31"/>
  <c r="Z27" i="32" s="1"/>
  <c r="R27" i="32" s="1"/>
  <c r="B27" i="31"/>
  <c r="Z28" i="32" s="1"/>
  <c r="R28" i="32" s="1"/>
  <c r="A19" i="31"/>
  <c r="A20" i="31"/>
  <c r="A21" i="31"/>
  <c r="A22" i="31"/>
  <c r="A23" i="31"/>
  <c r="A24" i="31"/>
  <c r="A25" i="31"/>
  <c r="A26" i="31"/>
  <c r="A27" i="31"/>
  <c r="A17" i="31"/>
  <c r="B17" i="31"/>
  <c r="Z18" i="32" s="1"/>
  <c r="R18" i="32" s="1"/>
  <c r="A18" i="31"/>
  <c r="B18" i="31"/>
  <c r="Z19" i="32" s="1"/>
  <c r="R19" i="32" s="1"/>
  <c r="A16" i="31"/>
  <c r="B16" i="31"/>
  <c r="Z17" i="32" s="1"/>
  <c r="R17" i="32" s="1"/>
  <c r="R16" i="32" s="1"/>
  <c r="B15" i="31"/>
  <c r="Z16" i="32" s="1"/>
  <c r="A15" i="31"/>
  <c r="A10" i="31"/>
  <c r="A12" i="31"/>
  <c r="A13" i="31"/>
  <c r="A14" i="31"/>
  <c r="A11" i="31"/>
  <c r="B13" i="31"/>
  <c r="Z14" i="32" s="1"/>
  <c r="R14" i="32" s="1"/>
  <c r="B14" i="31"/>
  <c r="Z15" i="32" s="1"/>
  <c r="R15" i="32" s="1"/>
  <c r="Z12" i="32"/>
  <c r="R12" i="32" s="1"/>
  <c r="R11" i="32" s="1"/>
  <c r="B9" i="31"/>
  <c r="AR82" i="31"/>
  <c r="AL82" i="31"/>
  <c r="AF82" i="31"/>
  <c r="Z82" i="31"/>
  <c r="AW81" i="31"/>
  <c r="AW80" i="31"/>
  <c r="AR80" i="31"/>
  <c r="AP80" i="31"/>
  <c r="AJ80" i="31"/>
  <c r="AF80" i="31"/>
  <c r="AD80" i="31"/>
  <c r="Z80" i="31"/>
  <c r="AY74" i="31"/>
  <c r="AX74" i="31"/>
  <c r="AW74" i="31"/>
  <c r="AV74" i="31"/>
  <c r="AU74" i="31"/>
  <c r="AT74" i="31"/>
  <c r="AS74" i="31"/>
  <c r="AQ74" i="31"/>
  <c r="AP74" i="31"/>
  <c r="AO74" i="31"/>
  <c r="AN74" i="31"/>
  <c r="AM74" i="31"/>
  <c r="AK74" i="31"/>
  <c r="AJ74" i="31"/>
  <c r="AI74" i="31"/>
  <c r="AH74" i="31"/>
  <c r="AG74" i="31"/>
  <c r="AE74" i="31"/>
  <c r="AD74" i="31"/>
  <c r="AC74" i="31"/>
  <c r="AB74" i="31"/>
  <c r="AA74" i="31"/>
  <c r="M74" i="31"/>
  <c r="AR67" i="31"/>
  <c r="AL67" i="31"/>
  <c r="AF67" i="31"/>
  <c r="Z67" i="31"/>
  <c r="AR66" i="31"/>
  <c r="AR74" i="31" s="1"/>
  <c r="AL66" i="31"/>
  <c r="AL74" i="31" s="1"/>
  <c r="AF66" i="31"/>
  <c r="AF74" i="31" s="1"/>
  <c r="Z66" i="31"/>
  <c r="Z74" i="31" s="1"/>
  <c r="S66" i="31"/>
  <c r="S74" i="31" s="1"/>
  <c r="R66" i="31"/>
  <c r="R74" i="31" s="1"/>
  <c r="Q66" i="31"/>
  <c r="Q74" i="31" s="1"/>
  <c r="P66" i="31"/>
  <c r="P74" i="31" s="1"/>
  <c r="O66" i="31"/>
  <c r="O74" i="31" s="1"/>
  <c r="AR65" i="31"/>
  <c r="AL65" i="31"/>
  <c r="AF65" i="31"/>
  <c r="Z65" i="31"/>
  <c r="S65" i="31"/>
  <c r="R65" i="31"/>
  <c r="Q65" i="31"/>
  <c r="P65" i="31"/>
  <c r="O65" i="31"/>
  <c r="AY64" i="31"/>
  <c r="AY73" i="31" s="1"/>
  <c r="AX64" i="31"/>
  <c r="AX73" i="31" s="1"/>
  <c r="AW64" i="31"/>
  <c r="AW73" i="31" s="1"/>
  <c r="AV64" i="31"/>
  <c r="AV73" i="31" s="1"/>
  <c r="AU64" i="31"/>
  <c r="AU73" i="31" s="1"/>
  <c r="AT64" i="31"/>
  <c r="AT73" i="31" s="1"/>
  <c r="AS64" i="31"/>
  <c r="AQ64" i="31"/>
  <c r="AQ73" i="31" s="1"/>
  <c r="AP64" i="31"/>
  <c r="AP73" i="31" s="1"/>
  <c r="AO64" i="31"/>
  <c r="AO73" i="31" s="1"/>
  <c r="AN64" i="31"/>
  <c r="AN73" i="31" s="1"/>
  <c r="AM64" i="31"/>
  <c r="AM73" i="31" s="1"/>
  <c r="AK64" i="31"/>
  <c r="AK73" i="31" s="1"/>
  <c r="AJ64" i="31"/>
  <c r="AJ73" i="31" s="1"/>
  <c r="AI64" i="31"/>
  <c r="AI73" i="31" s="1"/>
  <c r="AH64" i="31"/>
  <c r="AH73" i="31" s="1"/>
  <c r="AG64" i="31"/>
  <c r="AE64" i="31"/>
  <c r="AD64" i="31"/>
  <c r="AC64" i="31"/>
  <c r="AB64" i="31"/>
  <c r="AA64" i="31"/>
  <c r="AD6" i="31" s="1"/>
  <c r="AR63" i="31"/>
  <c r="AL63" i="31"/>
  <c r="AF63" i="31"/>
  <c r="Z63" i="31"/>
  <c r="AR61" i="31"/>
  <c r="AY61" i="31"/>
  <c r="AX61" i="31"/>
  <c r="AW61" i="31"/>
  <c r="R61" i="31" s="1"/>
  <c r="AV61" i="31"/>
  <c r="AU61" i="31"/>
  <c r="AT61" i="31"/>
  <c r="AS61" i="31"/>
  <c r="AN72" i="31"/>
  <c r="AQ72" i="31"/>
  <c r="AP72" i="31"/>
  <c r="AR55" i="31"/>
  <c r="AL55" i="31"/>
  <c r="AF55" i="31"/>
  <c r="Z55" i="31"/>
  <c r="AY54" i="31"/>
  <c r="AX54" i="31"/>
  <c r="AW54" i="31"/>
  <c r="AV54" i="31"/>
  <c r="AU54" i="31"/>
  <c r="AT54" i="31"/>
  <c r="AS54" i="31"/>
  <c r="AQ54" i="31"/>
  <c r="AP54" i="31"/>
  <c r="AO54" i="31"/>
  <c r="AN54" i="31"/>
  <c r="AM54" i="31"/>
  <c r="AK54" i="31"/>
  <c r="AJ54" i="31"/>
  <c r="AI54" i="31"/>
  <c r="AH54" i="31"/>
  <c r="AG54" i="31"/>
  <c r="AE54" i="31"/>
  <c r="AD54" i="31"/>
  <c r="AC54" i="31"/>
  <c r="AB54" i="31"/>
  <c r="AA54" i="31"/>
  <c r="AR48" i="31"/>
  <c r="AL48" i="31"/>
  <c r="AF48" i="31"/>
  <c r="Z48" i="31"/>
  <c r="AY46" i="31"/>
  <c r="AX46" i="31"/>
  <c r="AW46" i="31"/>
  <c r="AV46" i="31"/>
  <c r="AU46" i="31"/>
  <c r="AT46" i="31"/>
  <c r="AS46" i="31"/>
  <c r="AQ46" i="31"/>
  <c r="AP46" i="31"/>
  <c r="AO46" i="31"/>
  <c r="AN46" i="31"/>
  <c r="AM46" i="31"/>
  <c r="AK46" i="31"/>
  <c r="AJ46" i="31"/>
  <c r="AI46" i="31"/>
  <c r="AH46" i="31"/>
  <c r="AG46" i="31"/>
  <c r="AE46" i="31"/>
  <c r="AD46" i="31"/>
  <c r="AC46" i="31"/>
  <c r="AB46" i="31"/>
  <c r="AA46" i="31"/>
  <c r="AR43" i="31"/>
  <c r="AL43" i="31"/>
  <c r="AF43" i="31"/>
  <c r="Z43" i="31"/>
  <c r="AY41" i="31"/>
  <c r="AX41" i="31"/>
  <c r="AW41" i="31"/>
  <c r="AV41" i="31"/>
  <c r="AU41" i="31"/>
  <c r="AT41" i="31"/>
  <c r="AS41" i="31"/>
  <c r="AQ41" i="31"/>
  <c r="AP41" i="31"/>
  <c r="AO41" i="31"/>
  <c r="AO29" i="31" s="1"/>
  <c r="AN41" i="31"/>
  <c r="AM41" i="31"/>
  <c r="AK41" i="31"/>
  <c r="AJ41" i="31"/>
  <c r="AI41" i="31"/>
  <c r="AH41" i="31"/>
  <c r="AG41" i="31"/>
  <c r="AE41" i="31"/>
  <c r="AD41" i="31"/>
  <c r="AC41" i="31"/>
  <c r="AB41" i="31"/>
  <c r="AA41" i="31"/>
  <c r="AR39" i="31"/>
  <c r="AL39" i="31"/>
  <c r="AF39" i="31"/>
  <c r="Z39" i="31"/>
  <c r="AR36" i="31"/>
  <c r="AL36" i="31"/>
  <c r="AF36" i="31"/>
  <c r="Z36" i="31"/>
  <c r="AR35" i="31"/>
  <c r="AL35" i="31"/>
  <c r="AF35" i="31"/>
  <c r="Z35" i="31"/>
  <c r="AR34" i="31"/>
  <c r="AL34" i="31"/>
  <c r="AF34" i="31"/>
  <c r="Z34" i="31"/>
  <c r="AR33" i="31"/>
  <c r="AL33" i="31"/>
  <c r="AF33" i="31"/>
  <c r="Z33" i="31"/>
  <c r="AR32" i="31"/>
  <c r="AL32" i="31"/>
  <c r="AF32" i="31"/>
  <c r="Z32" i="31"/>
  <c r="AY30" i="31"/>
  <c r="AX30" i="31"/>
  <c r="AW30" i="31"/>
  <c r="AV30" i="31"/>
  <c r="AU30" i="31"/>
  <c r="AT30" i="31"/>
  <c r="AS30" i="31"/>
  <c r="AQ30" i="31"/>
  <c r="AP30" i="31"/>
  <c r="AN30" i="31"/>
  <c r="AK30" i="31"/>
  <c r="AJ30" i="31"/>
  <c r="AI30" i="31"/>
  <c r="AH30" i="31"/>
  <c r="AG30" i="31"/>
  <c r="AE30" i="31"/>
  <c r="AD30" i="31"/>
  <c r="AC30" i="31"/>
  <c r="AB30" i="31"/>
  <c r="AA30" i="31"/>
  <c r="AR27" i="31"/>
  <c r="AL27" i="31"/>
  <c r="AF27" i="31"/>
  <c r="Z27" i="31"/>
  <c r="AR26" i="31"/>
  <c r="AL26" i="31"/>
  <c r="AF26" i="31"/>
  <c r="Z26" i="31"/>
  <c r="AR25" i="31"/>
  <c r="AL25" i="31"/>
  <c r="AF25" i="31"/>
  <c r="Z25" i="31"/>
  <c r="AR24" i="31"/>
  <c r="AL24" i="31"/>
  <c r="AF24" i="31"/>
  <c r="Z24" i="31"/>
  <c r="AR23" i="31"/>
  <c r="AL23" i="31"/>
  <c r="AF23" i="31"/>
  <c r="Z23" i="31"/>
  <c r="AR22" i="31"/>
  <c r="AL22" i="31"/>
  <c r="AF22" i="31"/>
  <c r="Z22" i="31"/>
  <c r="AR21" i="31"/>
  <c r="AL21" i="31"/>
  <c r="AF21" i="31"/>
  <c r="Z21" i="31"/>
  <c r="AY20" i="31"/>
  <c r="AX20" i="31"/>
  <c r="AW20" i="31"/>
  <c r="AV20" i="31"/>
  <c r="AU20" i="31"/>
  <c r="AT20" i="31"/>
  <c r="AS20" i="31"/>
  <c r="AQ20" i="31"/>
  <c r="AP20" i="31"/>
  <c r="AO20" i="31"/>
  <c r="AN20" i="31"/>
  <c r="AM20" i="31"/>
  <c r="AK20" i="31"/>
  <c r="AJ20" i="31"/>
  <c r="AI20" i="31"/>
  <c r="AH20" i="31"/>
  <c r="AG20" i="31"/>
  <c r="AE20" i="31"/>
  <c r="AD20" i="31"/>
  <c r="AC20" i="31"/>
  <c r="AB20" i="31"/>
  <c r="AA20" i="31"/>
  <c r="AR18" i="31"/>
  <c r="AL18" i="31"/>
  <c r="AF18" i="31"/>
  <c r="Z18" i="31"/>
  <c r="AR17" i="31"/>
  <c r="AL17" i="31"/>
  <c r="AF17" i="31"/>
  <c r="Z17" i="31"/>
  <c r="AR16" i="31"/>
  <c r="AL16" i="31"/>
  <c r="AF16" i="31"/>
  <c r="Z16" i="31"/>
  <c r="AY15" i="31"/>
  <c r="AX15" i="31"/>
  <c r="AW15" i="31"/>
  <c r="AV15" i="31"/>
  <c r="AU15" i="31"/>
  <c r="AT15" i="31"/>
  <c r="AS15" i="31"/>
  <c r="AQ15" i="31"/>
  <c r="AP15" i="31"/>
  <c r="AO15" i="31"/>
  <c r="AN15" i="31"/>
  <c r="AM15" i="31"/>
  <c r="AK15" i="31"/>
  <c r="AJ15" i="31"/>
  <c r="AI15" i="31"/>
  <c r="AH15" i="31"/>
  <c r="AG15" i="31"/>
  <c r="AE15" i="31"/>
  <c r="AD15" i="31"/>
  <c r="AC15" i="31"/>
  <c r="AB15" i="31"/>
  <c r="AA15" i="31"/>
  <c r="AR14" i="31"/>
  <c r="AL14" i="31"/>
  <c r="AF14" i="31"/>
  <c r="Z14" i="31"/>
  <c r="R14" i="31"/>
  <c r="P14" i="31"/>
  <c r="O14" i="31"/>
  <c r="AR13" i="31"/>
  <c r="AL13" i="31"/>
  <c r="AF13" i="31"/>
  <c r="Z13" i="31"/>
  <c r="R13" i="31"/>
  <c r="AR12" i="31"/>
  <c r="AL12" i="31"/>
  <c r="AF12" i="31"/>
  <c r="Z12" i="31"/>
  <c r="R12" i="31"/>
  <c r="AR11" i="31"/>
  <c r="AL11" i="31"/>
  <c r="AF11" i="31"/>
  <c r="Z11" i="31"/>
  <c r="R11" i="31"/>
  <c r="AY10" i="31"/>
  <c r="AX10" i="31"/>
  <c r="AW10" i="31"/>
  <c r="AV10" i="31"/>
  <c r="AU10" i="31"/>
  <c r="AT10" i="31"/>
  <c r="AS10" i="31"/>
  <c r="AQ10" i="31"/>
  <c r="AP10" i="31"/>
  <c r="AO10" i="31"/>
  <c r="AN10" i="31"/>
  <c r="AM10" i="31"/>
  <c r="AK10" i="31"/>
  <c r="AJ10" i="31"/>
  <c r="AI10" i="31"/>
  <c r="AH10" i="31"/>
  <c r="AG10" i="31"/>
  <c r="AE10" i="31"/>
  <c r="AD10" i="31"/>
  <c r="AC10" i="31"/>
  <c r="AB10" i="31"/>
  <c r="AA10" i="31"/>
  <c r="R80" i="31" l="1"/>
  <c r="AG73" i="31"/>
  <c r="AJ6" i="31"/>
  <c r="M81" i="31"/>
  <c r="AF61" i="31"/>
  <c r="AL61" i="31"/>
  <c r="Z47" i="32"/>
  <c r="R47" i="32" s="1"/>
  <c r="Z61" i="31"/>
  <c r="AL77" i="31"/>
  <c r="N13" i="31"/>
  <c r="M13" i="31" s="1"/>
  <c r="AT29" i="31"/>
  <c r="AF77" i="31"/>
  <c r="AR77" i="31"/>
  <c r="M80" i="31"/>
  <c r="AX5" i="31"/>
  <c r="AL46" i="31"/>
  <c r="AM72" i="31"/>
  <c r="AO72" i="31"/>
  <c r="Z76" i="31"/>
  <c r="AF76" i="31"/>
  <c r="R81" i="31"/>
  <c r="AL76" i="31"/>
  <c r="AR76" i="31"/>
  <c r="R62" i="32"/>
  <c r="Q70" i="29"/>
  <c r="AM29" i="31"/>
  <c r="AM19" i="31" s="1"/>
  <c r="AM9" i="31" s="1"/>
  <c r="AS29" i="31"/>
  <c r="AG72" i="31"/>
  <c r="AI72" i="31"/>
  <c r="AT72" i="31"/>
  <c r="AV72" i="31"/>
  <c r="AX72" i="31"/>
  <c r="Z64" i="31"/>
  <c r="AL64" i="31"/>
  <c r="AL73" i="31" s="1"/>
  <c r="AH29" i="31"/>
  <c r="AK29" i="31"/>
  <c r="AK19" i="31" s="1"/>
  <c r="AK9" i="31" s="1"/>
  <c r="AK71" i="31" s="1"/>
  <c r="AN29" i="31"/>
  <c r="AU29" i="31"/>
  <c r="AU19" i="31" s="1"/>
  <c r="AU9" i="31" s="1"/>
  <c r="AU71" i="31" s="1"/>
  <c r="AW29" i="31"/>
  <c r="AY29" i="31"/>
  <c r="AY19" i="31" s="1"/>
  <c r="AY9" i="31" s="1"/>
  <c r="AY71" i="31" s="1"/>
  <c r="AH72" i="31"/>
  <c r="AJ72" i="31"/>
  <c r="AK72" i="31"/>
  <c r="AV70" i="29"/>
  <c r="BB70" i="29"/>
  <c r="O15" i="31"/>
  <c r="Q15" i="31"/>
  <c r="P41" i="31"/>
  <c r="L71" i="29"/>
  <c r="L52" i="31" s="1"/>
  <c r="J52" i="31" s="1"/>
  <c r="L68" i="29"/>
  <c r="L49" i="31" s="1"/>
  <c r="J49" i="31" s="1"/>
  <c r="X70" i="29"/>
  <c r="AP70" i="29"/>
  <c r="AJ70" i="29"/>
  <c r="L55" i="29"/>
  <c r="L37" i="31" s="1"/>
  <c r="J37" i="31" s="1"/>
  <c r="L46" i="29"/>
  <c r="L28" i="31" s="1"/>
  <c r="J28" i="31" s="1"/>
  <c r="AD70" i="29"/>
  <c r="R30" i="32"/>
  <c r="R20" i="32" s="1"/>
  <c r="R10" i="32" s="1"/>
  <c r="AP6" i="31"/>
  <c r="R41" i="31"/>
  <c r="AS73" i="31"/>
  <c r="AX6" i="31"/>
  <c r="P46" i="31"/>
  <c r="R46" i="31"/>
  <c r="AU72" i="31"/>
  <c r="AW72" i="31"/>
  <c r="AY72" i="31"/>
  <c r="P61" i="31"/>
  <c r="S61" i="31"/>
  <c r="AF64" i="31"/>
  <c r="AF73" i="31" s="1"/>
  <c r="AR64" i="31"/>
  <c r="AR73" i="31" s="1"/>
  <c r="S41" i="31"/>
  <c r="O10" i="31"/>
  <c r="Q10" i="31"/>
  <c r="P20" i="31"/>
  <c r="R20" i="31"/>
  <c r="S20" i="31"/>
  <c r="O41" i="31"/>
  <c r="Q41" i="31"/>
  <c r="O46" i="31"/>
  <c r="Q46" i="31"/>
  <c r="O54" i="31"/>
  <c r="Q54" i="31"/>
  <c r="O61" i="31"/>
  <c r="Q61" i="31"/>
  <c r="AB72" i="31"/>
  <c r="AD72" i="31"/>
  <c r="AE72" i="31"/>
  <c r="AA73" i="31"/>
  <c r="O64" i="31"/>
  <c r="O73" i="31" s="1"/>
  <c r="AC73" i="31"/>
  <c r="Q64" i="31"/>
  <c r="Q73" i="31" s="1"/>
  <c r="P15" i="31"/>
  <c r="R15" i="31"/>
  <c r="S15" i="31"/>
  <c r="P30" i="31"/>
  <c r="R30" i="31"/>
  <c r="S30" i="31"/>
  <c r="S46" i="31"/>
  <c r="P54" i="31"/>
  <c r="R54" i="31"/>
  <c r="S54" i="31"/>
  <c r="Z51" i="31"/>
  <c r="P51" i="31"/>
  <c r="R51" i="31"/>
  <c r="S51" i="31"/>
  <c r="AA29" i="31"/>
  <c r="O30" i="31"/>
  <c r="AC29" i="31"/>
  <c r="AC19" i="31" s="1"/>
  <c r="Q30" i="31"/>
  <c r="AA72" i="31"/>
  <c r="AC72" i="31"/>
  <c r="AB73" i="31"/>
  <c r="P64" i="31"/>
  <c r="P73" i="31" s="1"/>
  <c r="AD73" i="31"/>
  <c r="R64" i="31"/>
  <c r="R73" i="31" s="1"/>
  <c r="AE73" i="31"/>
  <c r="S64" i="31"/>
  <c r="S73" i="31" s="1"/>
  <c r="T47" i="32"/>
  <c r="O51" i="31"/>
  <c r="Q51" i="31"/>
  <c r="P10" i="31"/>
  <c r="R10" i="31"/>
  <c r="S10" i="31"/>
  <c r="O20" i="31"/>
  <c r="Q20" i="31"/>
  <c r="BH70" i="29"/>
  <c r="T50" i="32"/>
  <c r="AR51" i="31"/>
  <c r="AF51" i="31"/>
  <c r="AL51" i="31"/>
  <c r="T49" i="32"/>
  <c r="AW19" i="31"/>
  <c r="AW9" i="31" s="1"/>
  <c r="AW71" i="31" s="1"/>
  <c r="AW75" i="31" s="1"/>
  <c r="AR54" i="31"/>
  <c r="AN19" i="31"/>
  <c r="AN9" i="31" s="1"/>
  <c r="AN71" i="31" s="1"/>
  <c r="AN75" i="31" s="1"/>
  <c r="AB29" i="31"/>
  <c r="AD29" i="31"/>
  <c r="AE29" i="31"/>
  <c r="AG29" i="31"/>
  <c r="AG19" i="31" s="1"/>
  <c r="AG9" i="31" s="1"/>
  <c r="AG71" i="31" s="1"/>
  <c r="AI29" i="31"/>
  <c r="AI19" i="31" s="1"/>
  <c r="AI9" i="31" s="1"/>
  <c r="AI71" i="31" s="1"/>
  <c r="AI75" i="31" s="1"/>
  <c r="AP29" i="31"/>
  <c r="AP19" i="31" s="1"/>
  <c r="AP9" i="31" s="1"/>
  <c r="AP71" i="31" s="1"/>
  <c r="AP75" i="31" s="1"/>
  <c r="AQ29" i="31"/>
  <c r="AQ19" i="31" s="1"/>
  <c r="AQ9" i="31" s="1"/>
  <c r="AQ71" i="31" s="1"/>
  <c r="AQ75" i="31" s="1"/>
  <c r="AT19" i="31"/>
  <c r="AT9" i="31" s="1"/>
  <c r="AT71" i="31" s="1"/>
  <c r="AV29" i="31"/>
  <c r="AV19" i="31" s="1"/>
  <c r="AV9" i="31" s="1"/>
  <c r="AV71" i="31" s="1"/>
  <c r="AV75" i="31" s="1"/>
  <c r="AX29" i="31"/>
  <c r="AX19" i="31" s="1"/>
  <c r="AX9" i="31" s="1"/>
  <c r="AX71" i="31" s="1"/>
  <c r="T18" i="32"/>
  <c r="AF54" i="31"/>
  <c r="T33" i="32"/>
  <c r="T35" i="32"/>
  <c r="Z54" i="31"/>
  <c r="T58" i="32"/>
  <c r="T60" i="32"/>
  <c r="AF20" i="31"/>
  <c r="AR20" i="31"/>
  <c r="AS19" i="31"/>
  <c r="AS9" i="31" s="1"/>
  <c r="AS71" i="31" s="1"/>
  <c r="AS75" i="31" s="1"/>
  <c r="AJ29" i="31"/>
  <c r="AJ19" i="31" s="1"/>
  <c r="AJ9" i="31" s="1"/>
  <c r="AJ71" i="31" s="1"/>
  <c r="AJ75" i="31" s="1"/>
  <c r="AL54" i="31"/>
  <c r="N12" i="31"/>
  <c r="M12" i="31" s="1"/>
  <c r="N14" i="31"/>
  <c r="T17" i="32"/>
  <c r="T19" i="32"/>
  <c r="AR10" i="31"/>
  <c r="Z15" i="31"/>
  <c r="AF15" i="31"/>
  <c r="AL15" i="31"/>
  <c r="AR15" i="31"/>
  <c r="AA19" i="31"/>
  <c r="AA9" i="31" s="1"/>
  <c r="AA71" i="31" s="1"/>
  <c r="AO19" i="31"/>
  <c r="AO9" i="31" s="1"/>
  <c r="AO71" i="31" s="1"/>
  <c r="AO75" i="31" s="1"/>
  <c r="T22" i="32"/>
  <c r="Z20" i="31"/>
  <c r="AL20" i="31"/>
  <c r="AH19" i="31"/>
  <c r="AH9" i="31" s="1"/>
  <c r="AH71" i="31" s="1"/>
  <c r="T29" i="32"/>
  <c r="AF30" i="31"/>
  <c r="AR30" i="31"/>
  <c r="T32" i="32"/>
  <c r="T34" i="32"/>
  <c r="AF41" i="31"/>
  <c r="AR41" i="31"/>
  <c r="Z10" i="31"/>
  <c r="AF10" i="31"/>
  <c r="AL10" i="31"/>
  <c r="T25" i="32"/>
  <c r="T27" i="32"/>
  <c r="T36" i="32"/>
  <c r="Z30" i="31"/>
  <c r="AL30" i="31"/>
  <c r="Z46" i="31"/>
  <c r="T59" i="32"/>
  <c r="N65" i="31"/>
  <c r="T23" i="32"/>
  <c r="T26" i="32"/>
  <c r="T28" i="32"/>
  <c r="T38" i="32"/>
  <c r="Z41" i="31"/>
  <c r="AL41" i="31"/>
  <c r="AF46" i="31"/>
  <c r="AR46" i="31"/>
  <c r="N66" i="31"/>
  <c r="T61" i="32"/>
  <c r="N11" i="31"/>
  <c r="M11" i="31" s="1"/>
  <c r="T24" i="32"/>
  <c r="T46" i="32"/>
  <c r="O72" i="31"/>
  <c r="T52" i="32"/>
  <c r="Z73" i="31" l="1"/>
  <c r="N74" i="31"/>
  <c r="M66" i="31"/>
  <c r="M14" i="31"/>
  <c r="T15" i="32" s="1"/>
  <c r="M65" i="31"/>
  <c r="T66" i="32" s="1"/>
  <c r="AF79" i="31"/>
  <c r="AA75" i="31"/>
  <c r="AG75" i="31"/>
  <c r="AM71" i="31"/>
  <c r="T12" i="32"/>
  <c r="I11" i="31"/>
  <c r="T14" i="32"/>
  <c r="I13" i="31"/>
  <c r="T13" i="32"/>
  <c r="I12" i="31"/>
  <c r="Z72" i="31"/>
  <c r="AL72" i="31"/>
  <c r="AY75" i="31"/>
  <c r="Q72" i="31"/>
  <c r="S72" i="31"/>
  <c r="AK75" i="31"/>
  <c r="AF29" i="31"/>
  <c r="AF19" i="31" s="1"/>
  <c r="AF9" i="31" s="1"/>
  <c r="AU75" i="31"/>
  <c r="AR72" i="31"/>
  <c r="AF72" i="31"/>
  <c r="AX75" i="31"/>
  <c r="P72" i="31"/>
  <c r="K71" i="29"/>
  <c r="K52" i="31" s="1"/>
  <c r="I52" i="31" s="1"/>
  <c r="K55" i="29"/>
  <c r="K68" i="29"/>
  <c r="K49" i="31" s="1"/>
  <c r="I49" i="31" s="1"/>
  <c r="K46" i="29"/>
  <c r="T64" i="32"/>
  <c r="T63" i="32"/>
  <c r="M76" i="31"/>
  <c r="N61" i="31"/>
  <c r="M61" i="31" s="1"/>
  <c r="N20" i="31"/>
  <c r="N46" i="31"/>
  <c r="N41" i="31"/>
  <c r="T57" i="32"/>
  <c r="N64" i="31"/>
  <c r="M64" i="31" s="1"/>
  <c r="N15" i="31"/>
  <c r="N51" i="31"/>
  <c r="N54" i="31"/>
  <c r="M54" i="31" s="1"/>
  <c r="N30" i="31"/>
  <c r="AD19" i="31"/>
  <c r="R29" i="31"/>
  <c r="Q29" i="31"/>
  <c r="N10" i="31"/>
  <c r="AC9" i="31"/>
  <c r="AC71" i="31" s="1"/>
  <c r="AC75" i="31" s="1"/>
  <c r="Q19" i="31"/>
  <c r="Q9" i="31" s="1"/>
  <c r="Q71" i="31" s="1"/>
  <c r="Q75" i="31" s="1"/>
  <c r="AE19" i="31"/>
  <c r="S29" i="31"/>
  <c r="AB19" i="31"/>
  <c r="P29" i="31"/>
  <c r="O19" i="31"/>
  <c r="O9" i="31" s="1"/>
  <c r="O71" i="31" s="1"/>
  <c r="O75" i="31" s="1"/>
  <c r="O29" i="31"/>
  <c r="AR79" i="31"/>
  <c r="AT75" i="31"/>
  <c r="AL71" i="31"/>
  <c r="T67" i="32"/>
  <c r="AH75" i="31"/>
  <c r="AL29" i="31"/>
  <c r="AL19" i="31" s="1"/>
  <c r="AL9" i="31" s="1"/>
  <c r="AR29" i="31"/>
  <c r="AR19" i="31" s="1"/>
  <c r="AR9" i="31" s="1"/>
  <c r="Z29" i="31"/>
  <c r="Z19" i="31" s="1"/>
  <c r="Z9" i="31" s="1"/>
  <c r="AR71" i="31"/>
  <c r="AF71" i="31"/>
  <c r="AF78" i="31" s="1"/>
  <c r="AR75" i="31" l="1"/>
  <c r="AR78" i="31" s="1"/>
  <c r="M20" i="31"/>
  <c r="T21" i="32" s="1"/>
  <c r="M51" i="31"/>
  <c r="T48" i="32" s="1"/>
  <c r="M46" i="31"/>
  <c r="T45" i="32" s="1"/>
  <c r="M10" i="31"/>
  <c r="T11" i="32" s="1"/>
  <c r="M15" i="31"/>
  <c r="T16" i="32" s="1"/>
  <c r="T51" i="32"/>
  <c r="M41" i="31"/>
  <c r="T40" i="32" s="1"/>
  <c r="M30" i="31"/>
  <c r="T31" i="32" s="1"/>
  <c r="AL75" i="31"/>
  <c r="AL78" i="31"/>
  <c r="AM75" i="31"/>
  <c r="AL79" i="31"/>
  <c r="T62" i="32"/>
  <c r="M72" i="31"/>
  <c r="K49" i="32"/>
  <c r="K29" i="32"/>
  <c r="K28" i="31"/>
  <c r="I28" i="31" s="1"/>
  <c r="K37" i="32"/>
  <c r="K37" i="31"/>
  <c r="I37" i="31" s="1"/>
  <c r="AF75" i="31"/>
  <c r="K47" i="32"/>
  <c r="N72" i="31"/>
  <c r="N73" i="31"/>
  <c r="AB9" i="31"/>
  <c r="AB71" i="31" s="1"/>
  <c r="Z79" i="31" s="1"/>
  <c r="P19" i="31"/>
  <c r="P9" i="31" s="1"/>
  <c r="P71" i="31" s="1"/>
  <c r="P75" i="31" s="1"/>
  <c r="AE9" i="31"/>
  <c r="AE71" i="31" s="1"/>
  <c r="AE75" i="31" s="1"/>
  <c r="S19" i="31"/>
  <c r="AD9" i="31"/>
  <c r="AD71" i="31" s="1"/>
  <c r="AD75" i="31" s="1"/>
  <c r="R19" i="31"/>
  <c r="R9" i="31" s="1"/>
  <c r="R71" i="31" s="1"/>
  <c r="R75" i="31" s="1"/>
  <c r="N29" i="31"/>
  <c r="M84" i="31"/>
  <c r="M29" i="31" l="1"/>
  <c r="T30" i="32" s="1"/>
  <c r="S9" i="31"/>
  <c r="S71" i="31" s="1"/>
  <c r="S75" i="31" s="1"/>
  <c r="M73" i="31"/>
  <c r="T65" i="32"/>
  <c r="Z71" i="31"/>
  <c r="AB75" i="31"/>
  <c r="N19" i="31"/>
  <c r="M19" i="31" s="1"/>
  <c r="Z75" i="31" l="1"/>
  <c r="Z78" i="31"/>
  <c r="N9" i="31"/>
  <c r="N71" i="31" s="1"/>
  <c r="B45" i="30"/>
  <c r="B44" i="30"/>
  <c r="B43" i="30"/>
  <c r="B42" i="30"/>
  <c r="B41" i="30"/>
  <c r="B40" i="30"/>
  <c r="B39" i="30"/>
  <c r="B38" i="30"/>
  <c r="B37" i="30"/>
  <c r="B36" i="30"/>
  <c r="B35" i="30"/>
  <c r="BM28" i="30"/>
  <c r="BJ28" i="30"/>
  <c r="BI28" i="30"/>
  <c r="BH28" i="30"/>
  <c r="BF28" i="30"/>
  <c r="BE28" i="30"/>
  <c r="BC28" i="30"/>
  <c r="BB28" i="30"/>
  <c r="BM27" i="30"/>
  <c r="BL27" i="30"/>
  <c r="BK27" i="30"/>
  <c r="BJ27" i="30"/>
  <c r="BI27" i="30"/>
  <c r="BH27" i="30"/>
  <c r="BF27" i="30"/>
  <c r="BE27" i="30"/>
  <c r="BC27" i="30"/>
  <c r="BB27" i="30"/>
  <c r="BM26" i="30"/>
  <c r="BL26" i="30"/>
  <c r="BK26" i="30"/>
  <c r="BJ26" i="30"/>
  <c r="BI26" i="30"/>
  <c r="BH26" i="30"/>
  <c r="BF26" i="30"/>
  <c r="BE26" i="30"/>
  <c r="BC26" i="30"/>
  <c r="BB26" i="30"/>
  <c r="BM25" i="30"/>
  <c r="BL25" i="30"/>
  <c r="BK25" i="30"/>
  <c r="BJ25" i="30"/>
  <c r="BI25" i="30"/>
  <c r="BH25" i="30"/>
  <c r="BF25" i="30"/>
  <c r="BE25" i="30"/>
  <c r="BC25" i="30"/>
  <c r="BB25" i="30"/>
  <c r="BM24" i="30"/>
  <c r="BM29" i="30" s="1"/>
  <c r="BL24" i="30"/>
  <c r="BK24" i="30"/>
  <c r="BJ24" i="30"/>
  <c r="BJ29" i="30" s="1"/>
  <c r="BI24" i="30"/>
  <c r="BH24" i="30"/>
  <c r="BF24" i="30"/>
  <c r="BF29" i="30" s="1"/>
  <c r="BE24" i="30"/>
  <c r="BG24" i="30" s="1"/>
  <c r="BC24" i="30"/>
  <c r="BB24" i="30"/>
  <c r="BH29" i="30" l="1"/>
  <c r="BL29" i="30"/>
  <c r="BI29" i="30"/>
  <c r="BD28" i="30"/>
  <c r="BD26" i="30"/>
  <c r="BB29" i="30"/>
  <c r="BG27" i="30"/>
  <c r="BG28" i="30"/>
  <c r="BD27" i="30"/>
  <c r="BG26" i="30"/>
  <c r="M9" i="31"/>
  <c r="M71" i="31" s="1"/>
  <c r="T20" i="32"/>
  <c r="BC29" i="30"/>
  <c r="BD25" i="30"/>
  <c r="BG25" i="30"/>
  <c r="M78" i="31"/>
  <c r="N75" i="31"/>
  <c r="BD24" i="30"/>
  <c r="BE29" i="30"/>
  <c r="BN28" i="30" l="1"/>
  <c r="BN27" i="30"/>
  <c r="BN26" i="30"/>
  <c r="BG29" i="30"/>
  <c r="T10" i="32"/>
  <c r="M75" i="31"/>
  <c r="BN25" i="30"/>
  <c r="BD29" i="30"/>
  <c r="M79" i="31" s="1"/>
  <c r="BN24" i="30"/>
  <c r="BN29" i="30" l="1"/>
  <c r="BI59" i="29"/>
  <c r="BJ59" i="29"/>
  <c r="BK59" i="29"/>
  <c r="BL59" i="29"/>
  <c r="BM59" i="29"/>
  <c r="AW59" i="29" l="1"/>
  <c r="AK84" i="29"/>
  <c r="AL84" i="29"/>
  <c r="AM84" i="29"/>
  <c r="AN84" i="29"/>
  <c r="AO84" i="29"/>
  <c r="M32" i="29"/>
  <c r="M28" i="29" s="1"/>
  <c r="N32" i="29"/>
  <c r="N28" i="29" s="1"/>
  <c r="BV32" i="29"/>
  <c r="BV28" i="29" s="1"/>
  <c r="BN32" i="29"/>
  <c r="BN28" i="29" s="1"/>
  <c r="BH32" i="29"/>
  <c r="BH28" i="29" s="1"/>
  <c r="BB32" i="29"/>
  <c r="BB28" i="29" s="1"/>
  <c r="AV32" i="29"/>
  <c r="AV28" i="29" s="1"/>
  <c r="AP32" i="29"/>
  <c r="AP28" i="29" s="1"/>
  <c r="AJ32" i="29"/>
  <c r="AJ28" i="29" s="1"/>
  <c r="AD32" i="29"/>
  <c r="AD28" i="29" s="1"/>
  <c r="X32" i="29"/>
  <c r="X28" i="29" s="1"/>
  <c r="R32" i="29"/>
  <c r="R28" i="29" s="1"/>
  <c r="Q32" i="29"/>
  <c r="Q28" i="29" s="1"/>
  <c r="P32" i="29"/>
  <c r="P28" i="29" s="1"/>
  <c r="O32" i="29"/>
  <c r="O28" i="29" s="1"/>
  <c r="BH87" i="29"/>
  <c r="BB87" i="29"/>
  <c r="AV87" i="29"/>
  <c r="AP87" i="29"/>
  <c r="AJ87" i="29"/>
  <c r="AD87" i="29"/>
  <c r="X87" i="29"/>
  <c r="R87" i="29"/>
  <c r="Q87" i="29"/>
  <c r="P87" i="29"/>
  <c r="O87" i="29"/>
  <c r="N87" i="29"/>
  <c r="M87" i="29"/>
  <c r="AM80" i="29" l="1"/>
  <c r="O84" i="29"/>
  <c r="AK80" i="29"/>
  <c r="M84" i="29"/>
  <c r="AO80" i="29"/>
  <c r="Q84" i="29"/>
  <c r="AN80" i="29"/>
  <c r="P84" i="29"/>
  <c r="AL80" i="29"/>
  <c r="N84" i="29"/>
  <c r="AJ84" i="29"/>
  <c r="L32" i="29"/>
  <c r="M82" i="29"/>
  <c r="M83" i="29"/>
  <c r="M39" i="29"/>
  <c r="N39" i="29"/>
  <c r="O39" i="29"/>
  <c r="P39" i="29"/>
  <c r="Q39" i="29"/>
  <c r="R39" i="29"/>
  <c r="X39" i="29"/>
  <c r="AD39" i="29"/>
  <c r="AJ39" i="29"/>
  <c r="AP39" i="29"/>
  <c r="AV39" i="29"/>
  <c r="BB39" i="29"/>
  <c r="BH39" i="29"/>
  <c r="BN39" i="29"/>
  <c r="BV39" i="29"/>
  <c r="M40" i="29"/>
  <c r="N40" i="29"/>
  <c r="O40" i="29"/>
  <c r="P40" i="29"/>
  <c r="Q40" i="29"/>
  <c r="R40" i="29"/>
  <c r="X40" i="29"/>
  <c r="AD40" i="29"/>
  <c r="AJ40" i="29"/>
  <c r="AP40" i="29"/>
  <c r="AV40" i="29"/>
  <c r="BB40" i="29"/>
  <c r="BH40" i="29"/>
  <c r="BN40" i="29"/>
  <c r="BV40" i="29"/>
  <c r="M41" i="29"/>
  <c r="N41" i="29"/>
  <c r="O41" i="29"/>
  <c r="P41" i="29"/>
  <c r="Q41" i="29"/>
  <c r="R41" i="29"/>
  <c r="X41" i="29"/>
  <c r="AD41" i="29"/>
  <c r="AJ41" i="29"/>
  <c r="AP41" i="29"/>
  <c r="AV41" i="29"/>
  <c r="BB41" i="29"/>
  <c r="BH41" i="29"/>
  <c r="BN41" i="29"/>
  <c r="BV41" i="29"/>
  <c r="M42" i="29"/>
  <c r="N42" i="29"/>
  <c r="O42" i="29"/>
  <c r="Q42" i="29"/>
  <c r="R42" i="29"/>
  <c r="X42" i="29"/>
  <c r="AD42" i="29"/>
  <c r="AJ42" i="29"/>
  <c r="AP42" i="29"/>
  <c r="AV42" i="29"/>
  <c r="BB42" i="29"/>
  <c r="BH42" i="29"/>
  <c r="BN42" i="29"/>
  <c r="BV42" i="29"/>
  <c r="M43" i="29"/>
  <c r="N43" i="29"/>
  <c r="O43" i="29"/>
  <c r="P43" i="29"/>
  <c r="Q43" i="29"/>
  <c r="R43" i="29"/>
  <c r="X43" i="29"/>
  <c r="AD43" i="29"/>
  <c r="AJ43" i="29"/>
  <c r="AP43" i="29"/>
  <c r="AV43" i="29"/>
  <c r="BB43" i="29"/>
  <c r="BH43" i="29"/>
  <c r="BN43" i="29"/>
  <c r="BV43" i="29"/>
  <c r="M44" i="29"/>
  <c r="N44" i="29"/>
  <c r="O44" i="29"/>
  <c r="P44" i="29"/>
  <c r="Q44" i="29"/>
  <c r="R44" i="29"/>
  <c r="X44" i="29"/>
  <c r="AD44" i="29"/>
  <c r="AJ44" i="29"/>
  <c r="AP44" i="29"/>
  <c r="AV44" i="29"/>
  <c r="BB44" i="29"/>
  <c r="BH44" i="29"/>
  <c r="BN44" i="29"/>
  <c r="BV44" i="29"/>
  <c r="M45" i="29"/>
  <c r="N45" i="29"/>
  <c r="O45" i="29"/>
  <c r="P45" i="29"/>
  <c r="Q45" i="29"/>
  <c r="R45" i="29"/>
  <c r="X45" i="29"/>
  <c r="AD45" i="29"/>
  <c r="AJ45" i="29"/>
  <c r="AP45" i="29"/>
  <c r="AV45" i="29"/>
  <c r="BB45" i="29"/>
  <c r="BH45" i="29"/>
  <c r="BN45" i="29"/>
  <c r="BV45" i="29"/>
  <c r="BH79" i="29"/>
  <c r="AV79" i="29"/>
  <c r="AJ79" i="29"/>
  <c r="Q79" i="29"/>
  <c r="P79" i="29"/>
  <c r="O79" i="29"/>
  <c r="N79" i="29"/>
  <c r="M79" i="29"/>
  <c r="BV75" i="29"/>
  <c r="BN75" i="29"/>
  <c r="BH75" i="29"/>
  <c r="BB75" i="29"/>
  <c r="AV75" i="29"/>
  <c r="AP75" i="29"/>
  <c r="AJ75" i="29"/>
  <c r="AD75" i="29"/>
  <c r="X75" i="29"/>
  <c r="R75" i="29"/>
  <c r="Q75" i="29"/>
  <c r="P75" i="29"/>
  <c r="O75" i="29"/>
  <c r="N75" i="29"/>
  <c r="M75" i="29"/>
  <c r="BV67" i="29"/>
  <c r="BN67" i="29"/>
  <c r="BB67" i="29"/>
  <c r="AV67" i="29"/>
  <c r="AP67" i="29"/>
  <c r="AJ67" i="29"/>
  <c r="AD67" i="29"/>
  <c r="X67" i="29"/>
  <c r="R67" i="29"/>
  <c r="Q67" i="29"/>
  <c r="P67" i="29"/>
  <c r="O67" i="29"/>
  <c r="N67" i="29"/>
  <c r="M67" i="29"/>
  <c r="BV54" i="29"/>
  <c r="BN54" i="29"/>
  <c r="BB54" i="29"/>
  <c r="AV54" i="29"/>
  <c r="AP54" i="29"/>
  <c r="AJ54" i="29"/>
  <c r="AD54" i="29"/>
  <c r="X54" i="29"/>
  <c r="R54" i="29"/>
  <c r="Q54" i="29"/>
  <c r="P54" i="29"/>
  <c r="O54" i="29"/>
  <c r="N54" i="29"/>
  <c r="M54" i="29"/>
  <c r="BV53" i="29"/>
  <c r="BN53" i="29"/>
  <c r="BB53" i="29"/>
  <c r="AV53" i="29"/>
  <c r="AP53" i="29"/>
  <c r="AJ53" i="29"/>
  <c r="AD53" i="29"/>
  <c r="X53" i="29"/>
  <c r="R53" i="29"/>
  <c r="Q53" i="29"/>
  <c r="P53" i="29"/>
  <c r="O53" i="29"/>
  <c r="N53" i="29"/>
  <c r="M53" i="29"/>
  <c r="BV52" i="29"/>
  <c r="BN52" i="29"/>
  <c r="BB52" i="29"/>
  <c r="AV52" i="29"/>
  <c r="AP52" i="29"/>
  <c r="AJ52" i="29"/>
  <c r="AD52" i="29"/>
  <c r="X52" i="29"/>
  <c r="R52" i="29"/>
  <c r="Q52" i="29"/>
  <c r="P52" i="29"/>
  <c r="O52" i="29"/>
  <c r="N52" i="29"/>
  <c r="M52" i="29"/>
  <c r="BV51" i="29"/>
  <c r="BN51" i="29"/>
  <c r="BB51" i="29"/>
  <c r="AV51" i="29"/>
  <c r="AP51" i="29"/>
  <c r="AJ51" i="29"/>
  <c r="AD51" i="29"/>
  <c r="X51" i="29"/>
  <c r="R51" i="29"/>
  <c r="Q51" i="29"/>
  <c r="P51" i="29"/>
  <c r="O51" i="29"/>
  <c r="N51" i="29"/>
  <c r="M51" i="29"/>
  <c r="BV50" i="29"/>
  <c r="BN50" i="29"/>
  <c r="BB50" i="29"/>
  <c r="AV50" i="29"/>
  <c r="AP50" i="29"/>
  <c r="AJ50" i="29"/>
  <c r="AD50" i="29"/>
  <c r="X50" i="29"/>
  <c r="R50" i="29"/>
  <c r="Q50" i="29"/>
  <c r="P50" i="29"/>
  <c r="O50" i="29"/>
  <c r="N50" i="29"/>
  <c r="M50" i="29"/>
  <c r="AN6" i="29" l="1"/>
  <c r="L28" i="29"/>
  <c r="L14" i="31"/>
  <c r="J14" i="31" s="1"/>
  <c r="K32" i="29"/>
  <c r="L84" i="29"/>
  <c r="K87" i="29"/>
  <c r="L87" i="29"/>
  <c r="L75" i="29"/>
  <c r="L55" i="31" s="1"/>
  <c r="J55" i="31" s="1"/>
  <c r="L53" i="29"/>
  <c r="L35" i="31" s="1"/>
  <c r="J35" i="31" s="1"/>
  <c r="L54" i="29"/>
  <c r="L36" i="31" s="1"/>
  <c r="J36" i="31" s="1"/>
  <c r="L44" i="29"/>
  <c r="L26" i="31" s="1"/>
  <c r="J26" i="31" s="1"/>
  <c r="L43" i="29"/>
  <c r="L25" i="31" s="1"/>
  <c r="J25" i="31" s="1"/>
  <c r="L42" i="29"/>
  <c r="L24" i="31" s="1"/>
  <c r="J24" i="31" s="1"/>
  <c r="L41" i="29"/>
  <c r="L23" i="31" s="1"/>
  <c r="J23" i="31" s="1"/>
  <c r="L40" i="29"/>
  <c r="L22" i="31" s="1"/>
  <c r="J22" i="31" s="1"/>
  <c r="L39" i="29"/>
  <c r="L21" i="31" s="1"/>
  <c r="J21" i="31" s="1"/>
  <c r="L45" i="29"/>
  <c r="L27" i="31" s="1"/>
  <c r="J27" i="31" s="1"/>
  <c r="L67" i="29"/>
  <c r="L48" i="31" s="1"/>
  <c r="J48" i="31" s="1"/>
  <c r="L52" i="29"/>
  <c r="L34" i="31" s="1"/>
  <c r="J34" i="31" s="1"/>
  <c r="L50" i="29"/>
  <c r="L32" i="31" s="1"/>
  <c r="J32" i="31" s="1"/>
  <c r="P74" i="29"/>
  <c r="O74" i="29"/>
  <c r="L51" i="29"/>
  <c r="L33" i="31" s="1"/>
  <c r="J33" i="31" s="1"/>
  <c r="Q74" i="29"/>
  <c r="L79" i="29"/>
  <c r="L59" i="31" s="1"/>
  <c r="J59" i="31" s="1"/>
  <c r="N74" i="29"/>
  <c r="M74" i="29"/>
  <c r="K61" i="31" l="1"/>
  <c r="K28" i="29"/>
  <c r="K14" i="31"/>
  <c r="I14" i="31" s="1"/>
  <c r="L61" i="31"/>
  <c r="K15" i="32"/>
  <c r="K79" i="29"/>
  <c r="K50" i="29"/>
  <c r="K32" i="31" s="1"/>
  <c r="I32" i="31" s="1"/>
  <c r="K39" i="29"/>
  <c r="K21" i="31" s="1"/>
  <c r="I21" i="31" s="1"/>
  <c r="K41" i="29"/>
  <c r="K43" i="29"/>
  <c r="K53" i="29"/>
  <c r="K35" i="31" s="1"/>
  <c r="I35" i="31" s="1"/>
  <c r="K84" i="29"/>
  <c r="K51" i="29"/>
  <c r="K33" i="31" s="1"/>
  <c r="I33" i="31" s="1"/>
  <c r="K67" i="29"/>
  <c r="K48" i="31" s="1"/>
  <c r="I48" i="31" s="1"/>
  <c r="K52" i="29"/>
  <c r="K34" i="31" s="1"/>
  <c r="I34" i="31" s="1"/>
  <c r="K45" i="29"/>
  <c r="K40" i="29"/>
  <c r="K42" i="29"/>
  <c r="K44" i="29"/>
  <c r="K54" i="29"/>
  <c r="K75" i="29"/>
  <c r="L74" i="29"/>
  <c r="L54" i="31" s="1"/>
  <c r="K33" i="32" l="1"/>
  <c r="K59" i="31"/>
  <c r="I59" i="31" s="1"/>
  <c r="K56" i="32"/>
  <c r="K46" i="32"/>
  <c r="K22" i="32"/>
  <c r="K52" i="32"/>
  <c r="K55" i="31"/>
  <c r="I55" i="31" s="1"/>
  <c r="K27" i="32"/>
  <c r="K26" i="31"/>
  <c r="I26" i="31" s="1"/>
  <c r="K36" i="32"/>
  <c r="K36" i="31"/>
  <c r="I36" i="31" s="1"/>
  <c r="K25" i="32"/>
  <c r="K24" i="31"/>
  <c r="I24" i="31" s="1"/>
  <c r="K28" i="32"/>
  <c r="K27" i="31"/>
  <c r="I27" i="31" s="1"/>
  <c r="K26" i="32"/>
  <c r="K25" i="31"/>
  <c r="I25" i="31" s="1"/>
  <c r="K10" i="31"/>
  <c r="K35" i="32"/>
  <c r="K34" i="32"/>
  <c r="K32" i="32"/>
  <c r="K23" i="32"/>
  <c r="K22" i="31"/>
  <c r="I22" i="31" s="1"/>
  <c r="K24" i="32"/>
  <c r="K23" i="31"/>
  <c r="I23" i="31" s="1"/>
  <c r="AR59" i="29"/>
  <c r="AS59" i="29"/>
  <c r="AT59" i="29"/>
  <c r="AU59" i="29"/>
  <c r="AQ59" i="29"/>
  <c r="AJ83" i="29"/>
  <c r="Q83" i="29"/>
  <c r="N83" i="29"/>
  <c r="L83" i="29" s="1"/>
  <c r="AJ82" i="29"/>
  <c r="Q82" i="29"/>
  <c r="N82" i="29"/>
  <c r="L82" i="29" s="1"/>
  <c r="BV81" i="29"/>
  <c r="BN81" i="29"/>
  <c r="BH81" i="29"/>
  <c r="BH103" i="29" s="1"/>
  <c r="BB81" i="29"/>
  <c r="BB103" i="29" s="1"/>
  <c r="AV81" i="29"/>
  <c r="AV103" i="29" s="1"/>
  <c r="AP81" i="29"/>
  <c r="AJ81" i="29"/>
  <c r="AD81" i="29"/>
  <c r="AD103" i="29" s="1"/>
  <c r="X81" i="29"/>
  <c r="X103" i="29" s="1"/>
  <c r="Q81" i="29"/>
  <c r="P81" i="29"/>
  <c r="P80" i="29" s="1"/>
  <c r="O81" i="29"/>
  <c r="O80" i="29" s="1"/>
  <c r="N81" i="29"/>
  <c r="M81" i="29"/>
  <c r="M80" i="29" s="1"/>
  <c r="AP103" i="29" l="1"/>
  <c r="AP80" i="29"/>
  <c r="N80" i="29"/>
  <c r="Q80" i="29"/>
  <c r="L81" i="29"/>
  <c r="K83" i="29"/>
  <c r="AJ80" i="29" l="1"/>
  <c r="AJ103" i="29"/>
  <c r="K60" i="32"/>
  <c r="K81" i="29"/>
  <c r="L80" i="29"/>
  <c r="L60" i="31" s="1"/>
  <c r="K82" i="29"/>
  <c r="K58" i="32" l="1"/>
  <c r="K80" i="29"/>
  <c r="K59" i="32"/>
  <c r="A55" i="24"/>
  <c r="K57" i="32" l="1"/>
  <c r="K60" i="31"/>
  <c r="K103" i="29"/>
  <c r="K61" i="32"/>
  <c r="BH25" i="28"/>
  <c r="F58" i="24" l="1"/>
  <c r="BI25" i="28" l="1"/>
  <c r="G21" i="24" l="1"/>
  <c r="I49" i="24"/>
  <c r="I48" i="24"/>
  <c r="I44" i="24"/>
  <c r="BV109" i="29"/>
  <c r="BN109" i="29"/>
  <c r="BH109" i="29"/>
  <c r="BB109" i="29"/>
  <c r="AV109" i="29"/>
  <c r="AP109" i="29"/>
  <c r="AJ109" i="29"/>
  <c r="AD109" i="29"/>
  <c r="X109" i="29"/>
  <c r="R109" i="29"/>
  <c r="BV108" i="29"/>
  <c r="BN108" i="29"/>
  <c r="BH108" i="29"/>
  <c r="BB108" i="29"/>
  <c r="AV108" i="29"/>
  <c r="AP108" i="29"/>
  <c r="AJ108" i="29"/>
  <c r="AD108" i="29"/>
  <c r="X108" i="29"/>
  <c r="R108" i="29"/>
  <c r="CA107" i="29"/>
  <c r="BV107" i="29"/>
  <c r="BS107" i="29"/>
  <c r="BN107" i="29"/>
  <c r="BH107" i="29"/>
  <c r="BF107" i="29"/>
  <c r="BB107" i="29"/>
  <c r="AZ107" i="29"/>
  <c r="AV107" i="29"/>
  <c r="AT107" i="29"/>
  <c r="AP107" i="29"/>
  <c r="AN107" i="29"/>
  <c r="AJ107" i="29"/>
  <c r="AH107" i="29"/>
  <c r="AD107" i="29"/>
  <c r="AB107" i="29"/>
  <c r="X107" i="29"/>
  <c r="V107" i="29"/>
  <c r="R107" i="29"/>
  <c r="CA106" i="29"/>
  <c r="BV106" i="29"/>
  <c r="BS106" i="29"/>
  <c r="BN106" i="29"/>
  <c r="BH106" i="29"/>
  <c r="BF106" i="29"/>
  <c r="BB106" i="29"/>
  <c r="AZ106" i="29"/>
  <c r="AV106" i="29"/>
  <c r="AT106" i="29"/>
  <c r="AP106" i="29"/>
  <c r="AN106" i="29"/>
  <c r="AJ106" i="29"/>
  <c r="AH106" i="29"/>
  <c r="AD106" i="29"/>
  <c r="AB106" i="29"/>
  <c r="X106" i="29"/>
  <c r="V106" i="29"/>
  <c r="R106" i="29"/>
  <c r="CC100" i="29"/>
  <c r="CA100" i="29"/>
  <c r="BZ100" i="29"/>
  <c r="BY100" i="29"/>
  <c r="BX100" i="29"/>
  <c r="BW100" i="29"/>
  <c r="BU100" i="29"/>
  <c r="BS100" i="29"/>
  <c r="BR100" i="29"/>
  <c r="BQ100" i="29"/>
  <c r="BP100" i="29"/>
  <c r="BO100" i="29"/>
  <c r="BM100" i="29"/>
  <c r="BL100" i="29"/>
  <c r="BK100" i="29"/>
  <c r="BJ100" i="29"/>
  <c r="BI100" i="29"/>
  <c r="BG100" i="29"/>
  <c r="BF100" i="29"/>
  <c r="BE100" i="29"/>
  <c r="BD100" i="29"/>
  <c r="BC100" i="29"/>
  <c r="BA100" i="29"/>
  <c r="AZ100" i="29"/>
  <c r="AY100" i="29"/>
  <c r="AX100" i="29"/>
  <c r="AW100" i="29"/>
  <c r="AU100" i="29"/>
  <c r="AT100" i="29"/>
  <c r="AS100" i="29"/>
  <c r="AR100" i="29"/>
  <c r="AQ100" i="29"/>
  <c r="AO100" i="29"/>
  <c r="AN100" i="29"/>
  <c r="AM100" i="29"/>
  <c r="AL100" i="29"/>
  <c r="AK100" i="29"/>
  <c r="AI100" i="29"/>
  <c r="AH100" i="29"/>
  <c r="AG100" i="29"/>
  <c r="AF100" i="29"/>
  <c r="AE100" i="29"/>
  <c r="AC100" i="29"/>
  <c r="AB100" i="29"/>
  <c r="AA100" i="29"/>
  <c r="Z100" i="29"/>
  <c r="Y100" i="29"/>
  <c r="W100" i="29"/>
  <c r="V100" i="29"/>
  <c r="U100" i="29"/>
  <c r="T100" i="29"/>
  <c r="S100" i="29"/>
  <c r="Q100" i="29"/>
  <c r="P100" i="29"/>
  <c r="O100" i="29"/>
  <c r="N100" i="29"/>
  <c r="M100" i="29"/>
  <c r="L100" i="29"/>
  <c r="A96" i="29"/>
  <c r="A95" i="29"/>
  <c r="J100" i="29"/>
  <c r="I100" i="29"/>
  <c r="BV92" i="29"/>
  <c r="BN92" i="29"/>
  <c r="BH92" i="29"/>
  <c r="BB92" i="29"/>
  <c r="AV92" i="29"/>
  <c r="AP92" i="29"/>
  <c r="AD92" i="29"/>
  <c r="AD90" i="29" s="1"/>
  <c r="AD99" i="29" s="1"/>
  <c r="X92" i="29"/>
  <c r="Q92" i="29"/>
  <c r="P92" i="29"/>
  <c r="O92" i="29"/>
  <c r="N92" i="29"/>
  <c r="M92" i="29"/>
  <c r="BV91" i="29"/>
  <c r="BN91" i="29"/>
  <c r="BH91" i="29"/>
  <c r="BB91" i="29"/>
  <c r="AV91" i="29"/>
  <c r="AP91" i="29"/>
  <c r="X91" i="29"/>
  <c r="R91" i="29"/>
  <c r="R90" i="29" s="1"/>
  <c r="Q91" i="29"/>
  <c r="P91" i="29"/>
  <c r="O91" i="29"/>
  <c r="N91" i="29"/>
  <c r="M91" i="29"/>
  <c r="CC90" i="29"/>
  <c r="CC99" i="29" s="1"/>
  <c r="CB90" i="29"/>
  <c r="CB99" i="29" s="1"/>
  <c r="CA90" i="29"/>
  <c r="CA99" i="29" s="1"/>
  <c r="BZ90" i="29"/>
  <c r="BZ99" i="29" s="1"/>
  <c r="BY90" i="29"/>
  <c r="BY99" i="29" s="1"/>
  <c r="BX90" i="29"/>
  <c r="BX99" i="29" s="1"/>
  <c r="BW90" i="29"/>
  <c r="BW99" i="29" s="1"/>
  <c r="BU90" i="29"/>
  <c r="BU99" i="29" s="1"/>
  <c r="BT90" i="29"/>
  <c r="BT99" i="29" s="1"/>
  <c r="BS90" i="29"/>
  <c r="BS99" i="29" s="1"/>
  <c r="BR90" i="29"/>
  <c r="BR99" i="29" s="1"/>
  <c r="BQ90" i="29"/>
  <c r="BQ99" i="29" s="1"/>
  <c r="BP90" i="29"/>
  <c r="BP99" i="29" s="1"/>
  <c r="BO90" i="29"/>
  <c r="BO99" i="29" s="1"/>
  <c r="BM90" i="29"/>
  <c r="BL90" i="29"/>
  <c r="BL99" i="29" s="1"/>
  <c r="BK90" i="29"/>
  <c r="BK99" i="29" s="1"/>
  <c r="BJ90" i="29"/>
  <c r="BJ99" i="29" s="1"/>
  <c r="BI90" i="29"/>
  <c r="BI99" i="29" s="1"/>
  <c r="BG90" i="29"/>
  <c r="BG99" i="29" s="1"/>
  <c r="BF90" i="29"/>
  <c r="BF99" i="29" s="1"/>
  <c r="BE90" i="29"/>
  <c r="BE99" i="29" s="1"/>
  <c r="BD90" i="29"/>
  <c r="BD99" i="29" s="1"/>
  <c r="BC90" i="29"/>
  <c r="BA90" i="29"/>
  <c r="BA99" i="29" s="1"/>
  <c r="AZ90" i="29"/>
  <c r="AZ99" i="29" s="1"/>
  <c r="AY90" i="29"/>
  <c r="AY99" i="29" s="1"/>
  <c r="AX90" i="29"/>
  <c r="AX99" i="29" s="1"/>
  <c r="AW90" i="29"/>
  <c r="AU90" i="29"/>
  <c r="AU99" i="29" s="1"/>
  <c r="AT90" i="29"/>
  <c r="AT99" i="29" s="1"/>
  <c r="AS90" i="29"/>
  <c r="AS99" i="29" s="1"/>
  <c r="AR90" i="29"/>
  <c r="AR99" i="29" s="1"/>
  <c r="AQ90" i="29"/>
  <c r="AO90" i="29"/>
  <c r="AO99" i="29" s="1"/>
  <c r="AN90" i="29"/>
  <c r="AN99" i="29" s="1"/>
  <c r="AM90" i="29"/>
  <c r="AM99" i="29" s="1"/>
  <c r="AL90" i="29"/>
  <c r="AL99" i="29" s="1"/>
  <c r="AK90" i="29"/>
  <c r="AI90" i="29"/>
  <c r="AI99" i="29" s="1"/>
  <c r="AH90" i="29"/>
  <c r="AH99" i="29" s="1"/>
  <c r="AG90" i="29"/>
  <c r="AG99" i="29" s="1"/>
  <c r="AF90" i="29"/>
  <c r="AF99" i="29" s="1"/>
  <c r="AE90" i="29"/>
  <c r="AC90" i="29"/>
  <c r="AC99" i="29" s="1"/>
  <c r="AB90" i="29"/>
  <c r="AB99" i="29" s="1"/>
  <c r="AA90" i="29"/>
  <c r="AA99" i="29" s="1"/>
  <c r="Z90" i="29"/>
  <c r="Z99" i="29" s="1"/>
  <c r="Y90" i="29"/>
  <c r="W90" i="29"/>
  <c r="W99" i="29" s="1"/>
  <c r="V90" i="29"/>
  <c r="V99" i="29" s="1"/>
  <c r="U90" i="29"/>
  <c r="U99" i="29" s="1"/>
  <c r="T90" i="29"/>
  <c r="T99" i="29" s="1"/>
  <c r="S90" i="29"/>
  <c r="J99" i="29"/>
  <c r="I99" i="29"/>
  <c r="BV103" i="29"/>
  <c r="BN103" i="29"/>
  <c r="CC80" i="29"/>
  <c r="CB80" i="29"/>
  <c r="CA80" i="29"/>
  <c r="BZ80" i="29"/>
  <c r="BY80" i="29"/>
  <c r="BX80" i="29"/>
  <c r="BW80" i="29"/>
  <c r="BU80" i="29"/>
  <c r="BT80" i="29"/>
  <c r="BS80" i="29"/>
  <c r="BR80" i="29"/>
  <c r="BQ80" i="29"/>
  <c r="BP80" i="29"/>
  <c r="BO80" i="29"/>
  <c r="BM80" i="29"/>
  <c r="BL80" i="29"/>
  <c r="BK80" i="29"/>
  <c r="BJ80" i="29"/>
  <c r="BI80" i="29"/>
  <c r="BG80" i="29"/>
  <c r="BF80" i="29"/>
  <c r="BE80" i="29"/>
  <c r="BD80" i="29"/>
  <c r="BC80" i="29"/>
  <c r="BA80" i="29"/>
  <c r="AZ80" i="29"/>
  <c r="AY80" i="29"/>
  <c r="AX80" i="29"/>
  <c r="AW80" i="29"/>
  <c r="AS80" i="29"/>
  <c r="AR80" i="29"/>
  <c r="AI80" i="29"/>
  <c r="AH80" i="29"/>
  <c r="AG80" i="29"/>
  <c r="AF80" i="29"/>
  <c r="AE80" i="29"/>
  <c r="AC80" i="29"/>
  <c r="AB80" i="29"/>
  <c r="AA80" i="29"/>
  <c r="Z80" i="29"/>
  <c r="Y80" i="29"/>
  <c r="W80" i="29"/>
  <c r="V80" i="29"/>
  <c r="U80" i="29"/>
  <c r="T80" i="29"/>
  <c r="S80" i="29"/>
  <c r="I98" i="29"/>
  <c r="CC74" i="29"/>
  <c r="CB74" i="29"/>
  <c r="CA74" i="29"/>
  <c r="BZ74" i="29"/>
  <c r="BY74" i="29"/>
  <c r="BX74" i="29"/>
  <c r="BW74" i="29"/>
  <c r="BU74" i="29"/>
  <c r="BT74" i="29"/>
  <c r="BS74" i="29"/>
  <c r="BR74" i="29"/>
  <c r="BQ74" i="29"/>
  <c r="BP74" i="29"/>
  <c r="BO74" i="29"/>
  <c r="BM74" i="29"/>
  <c r="BL74" i="29"/>
  <c r="BK74" i="29"/>
  <c r="BJ74" i="29"/>
  <c r="BI74" i="29"/>
  <c r="BG74" i="29"/>
  <c r="BF74" i="29"/>
  <c r="BE74" i="29"/>
  <c r="BD74" i="29"/>
  <c r="BC74" i="29"/>
  <c r="BA74" i="29"/>
  <c r="AZ74" i="29"/>
  <c r="AY74" i="29"/>
  <c r="AX74" i="29"/>
  <c r="AW74" i="29"/>
  <c r="AU74" i="29"/>
  <c r="AT74" i="29"/>
  <c r="AS74" i="29"/>
  <c r="AR74" i="29"/>
  <c r="AQ74" i="29"/>
  <c r="AO74" i="29"/>
  <c r="AN74" i="29"/>
  <c r="AM74" i="29"/>
  <c r="AL74" i="29"/>
  <c r="AK74" i="29"/>
  <c r="AI74" i="29"/>
  <c r="AH74" i="29"/>
  <c r="AG74" i="29"/>
  <c r="AF74" i="29"/>
  <c r="AE74" i="29"/>
  <c r="AC74" i="29"/>
  <c r="AB74" i="29"/>
  <c r="AA74" i="29"/>
  <c r="Z74" i="29"/>
  <c r="Y74" i="29"/>
  <c r="W74" i="29"/>
  <c r="V74" i="29"/>
  <c r="U74" i="29"/>
  <c r="T74" i="29"/>
  <c r="S74" i="29"/>
  <c r="CC65" i="29"/>
  <c r="CB65" i="29"/>
  <c r="CA65" i="29"/>
  <c r="BZ65" i="29"/>
  <c r="BY65" i="29"/>
  <c r="BX65" i="29"/>
  <c r="BW65" i="29"/>
  <c r="BU65" i="29"/>
  <c r="BT65" i="29"/>
  <c r="BS65" i="29"/>
  <c r="BR65" i="29"/>
  <c r="BQ65" i="29"/>
  <c r="BP65" i="29"/>
  <c r="BO65" i="29"/>
  <c r="BM65" i="29"/>
  <c r="BL65" i="29"/>
  <c r="BK65" i="29"/>
  <c r="BJ65" i="29"/>
  <c r="BI65" i="29"/>
  <c r="BG65" i="29"/>
  <c r="BF65" i="29"/>
  <c r="BE65" i="29"/>
  <c r="BD65" i="29"/>
  <c r="BC65" i="29"/>
  <c r="BA65" i="29"/>
  <c r="AZ65" i="29"/>
  <c r="AY65" i="29"/>
  <c r="AX65" i="29"/>
  <c r="AW65" i="29"/>
  <c r="AU65" i="29"/>
  <c r="AT65" i="29"/>
  <c r="AS65" i="29"/>
  <c r="AR65" i="29"/>
  <c r="AQ65" i="29"/>
  <c r="AO65" i="29"/>
  <c r="AN65" i="29"/>
  <c r="AM65" i="29"/>
  <c r="AL65" i="29"/>
  <c r="AK65" i="29"/>
  <c r="AI65" i="29"/>
  <c r="AH65" i="29"/>
  <c r="AG65" i="29"/>
  <c r="AF65" i="29"/>
  <c r="AE65" i="29"/>
  <c r="AC65" i="29"/>
  <c r="AB65" i="29"/>
  <c r="AA65" i="29"/>
  <c r="Z65" i="29"/>
  <c r="Y65" i="29"/>
  <c r="W65" i="29"/>
  <c r="V65" i="29"/>
  <c r="U65" i="29"/>
  <c r="T65" i="29"/>
  <c r="S65" i="29"/>
  <c r="CC59" i="29"/>
  <c r="CB59" i="29"/>
  <c r="CA59" i="29"/>
  <c r="BZ59" i="29"/>
  <c r="BY59" i="29"/>
  <c r="BX59" i="29"/>
  <c r="BW59" i="29"/>
  <c r="BU59" i="29"/>
  <c r="BT59" i="29"/>
  <c r="BS59" i="29"/>
  <c r="BR59" i="29"/>
  <c r="BQ59" i="29"/>
  <c r="BP59" i="29"/>
  <c r="BO59" i="29"/>
  <c r="BG59" i="29"/>
  <c r="BF59" i="29"/>
  <c r="BE59" i="29"/>
  <c r="BD59" i="29"/>
  <c r="BC59" i="29"/>
  <c r="BA59" i="29"/>
  <c r="AZ59" i="29"/>
  <c r="AY59" i="29"/>
  <c r="AX59" i="29"/>
  <c r="AO59" i="29"/>
  <c r="AN59" i="29"/>
  <c r="AM59" i="29"/>
  <c r="AL59" i="29"/>
  <c r="AK59" i="29"/>
  <c r="AI59" i="29"/>
  <c r="AH59" i="29"/>
  <c r="AG59" i="29"/>
  <c r="AF59" i="29"/>
  <c r="AE59" i="29"/>
  <c r="AC59" i="29"/>
  <c r="AB59" i="29"/>
  <c r="AA59" i="29"/>
  <c r="Z59" i="29"/>
  <c r="Y59" i="29"/>
  <c r="W59" i="29"/>
  <c r="V59" i="29"/>
  <c r="U59" i="29"/>
  <c r="T59" i="29"/>
  <c r="S59" i="29"/>
  <c r="CC48" i="29"/>
  <c r="CB48" i="29"/>
  <c r="CA48" i="29"/>
  <c r="BZ48" i="29"/>
  <c r="BY48" i="29"/>
  <c r="BX48" i="29"/>
  <c r="BW48" i="29"/>
  <c r="BU48" i="29"/>
  <c r="BT48" i="29"/>
  <c r="BS48" i="29"/>
  <c r="BR48" i="29"/>
  <c r="BQ48" i="29"/>
  <c r="BP48" i="29"/>
  <c r="BO48" i="29"/>
  <c r="BL48" i="29"/>
  <c r="BK48" i="29"/>
  <c r="BJ48" i="29"/>
  <c r="BG48" i="29"/>
  <c r="BF48" i="29"/>
  <c r="BE48" i="29"/>
  <c r="BD48" i="29"/>
  <c r="BC48" i="29"/>
  <c r="BA48" i="29"/>
  <c r="AZ48" i="29"/>
  <c r="AY48" i="29"/>
  <c r="AX48" i="29"/>
  <c r="AW48" i="29"/>
  <c r="AU48" i="29"/>
  <c r="AT48" i="29"/>
  <c r="AS48" i="29"/>
  <c r="AR48" i="29"/>
  <c r="AQ48" i="29"/>
  <c r="AO48" i="29"/>
  <c r="AN48" i="29"/>
  <c r="AM48" i="29"/>
  <c r="AL48" i="29"/>
  <c r="AK48" i="29"/>
  <c r="AI48" i="29"/>
  <c r="AH48" i="29"/>
  <c r="AG48" i="29"/>
  <c r="AF48" i="29"/>
  <c r="AE48" i="29"/>
  <c r="AC48" i="29"/>
  <c r="AB48" i="29"/>
  <c r="AA48" i="29"/>
  <c r="Z48" i="29"/>
  <c r="Y48" i="29"/>
  <c r="W48" i="29"/>
  <c r="V48" i="29"/>
  <c r="U48" i="29"/>
  <c r="T48" i="29"/>
  <c r="S48" i="29"/>
  <c r="CC38" i="29"/>
  <c r="CB38" i="29"/>
  <c r="CA38" i="29"/>
  <c r="BZ38" i="29"/>
  <c r="BY38" i="29"/>
  <c r="BX38" i="29"/>
  <c r="BW38" i="29"/>
  <c r="BU38" i="29"/>
  <c r="BT38" i="29"/>
  <c r="BS38" i="29"/>
  <c r="BR38" i="29"/>
  <c r="BQ38" i="29"/>
  <c r="BP38" i="29"/>
  <c r="BO38" i="29"/>
  <c r="BL38" i="29"/>
  <c r="BK38" i="29"/>
  <c r="BJ38" i="29"/>
  <c r="BI38" i="29"/>
  <c r="BG38" i="29"/>
  <c r="BF38" i="29"/>
  <c r="BE38" i="29"/>
  <c r="BD38" i="29"/>
  <c r="BC38" i="29"/>
  <c r="BA38" i="29"/>
  <c r="AZ38" i="29"/>
  <c r="AY38" i="29"/>
  <c r="AX38" i="29"/>
  <c r="AW38" i="29"/>
  <c r="AU38" i="29"/>
  <c r="AT38" i="29"/>
  <c r="AS38" i="29"/>
  <c r="AR38" i="29"/>
  <c r="AQ38" i="29"/>
  <c r="AO38" i="29"/>
  <c r="AN38" i="29"/>
  <c r="AM38" i="29"/>
  <c r="AL38" i="29"/>
  <c r="AK38" i="29"/>
  <c r="AI38" i="29"/>
  <c r="AH38" i="29"/>
  <c r="AG38" i="29"/>
  <c r="AF38" i="29"/>
  <c r="AE38" i="29"/>
  <c r="AC38" i="29"/>
  <c r="AB38" i="29"/>
  <c r="AA38" i="29"/>
  <c r="Z38" i="29"/>
  <c r="Y38" i="29"/>
  <c r="W38" i="29"/>
  <c r="V38" i="29"/>
  <c r="U38" i="29"/>
  <c r="T38" i="29"/>
  <c r="S38" i="29"/>
  <c r="BV36" i="29"/>
  <c r="BN36" i="29"/>
  <c r="BH36" i="29"/>
  <c r="BB36" i="29"/>
  <c r="AV36" i="29"/>
  <c r="AP36" i="29"/>
  <c r="AJ36" i="29"/>
  <c r="AD36" i="29"/>
  <c r="X36" i="29"/>
  <c r="R36" i="29"/>
  <c r="Q36" i="29"/>
  <c r="P36" i="29"/>
  <c r="O36" i="29"/>
  <c r="N36" i="29"/>
  <c r="M36" i="29"/>
  <c r="BV35" i="29"/>
  <c r="BN35" i="29"/>
  <c r="BH35" i="29"/>
  <c r="BB35" i="29"/>
  <c r="AV35" i="29"/>
  <c r="AP35" i="29"/>
  <c r="AJ35" i="29"/>
  <c r="AD35" i="29"/>
  <c r="X35" i="29"/>
  <c r="R35" i="29"/>
  <c r="Q35" i="29"/>
  <c r="P35" i="29"/>
  <c r="O35" i="29"/>
  <c r="N35" i="29"/>
  <c r="M35" i="29"/>
  <c r="BV34" i="29"/>
  <c r="BN34" i="29"/>
  <c r="BH34" i="29"/>
  <c r="BB34" i="29"/>
  <c r="AV34" i="29"/>
  <c r="AP34" i="29"/>
  <c r="AJ34" i="29"/>
  <c r="AD34" i="29"/>
  <c r="X34" i="29"/>
  <c r="R34" i="29"/>
  <c r="Q34" i="29"/>
  <c r="P34" i="29"/>
  <c r="O34" i="29"/>
  <c r="N34" i="29"/>
  <c r="M34" i="29"/>
  <c r="CC33" i="29"/>
  <c r="CB33" i="29"/>
  <c r="CA33" i="29"/>
  <c r="BZ33" i="29"/>
  <c r="BY33" i="29"/>
  <c r="BX33" i="29"/>
  <c r="BW33" i="29"/>
  <c r="BU33" i="29"/>
  <c r="BT33" i="29"/>
  <c r="BS33" i="29"/>
  <c r="BR33" i="29"/>
  <c r="BQ33" i="29"/>
  <c r="BP33" i="29"/>
  <c r="BO33" i="29"/>
  <c r="BM33" i="29"/>
  <c r="BL33" i="29"/>
  <c r="BK33" i="29"/>
  <c r="BJ33" i="29"/>
  <c r="BI33" i="29"/>
  <c r="BG33" i="29"/>
  <c r="BF33" i="29"/>
  <c r="BE33" i="29"/>
  <c r="BD33" i="29"/>
  <c r="BC33" i="29"/>
  <c r="BA33" i="29"/>
  <c r="AZ33" i="29"/>
  <c r="AY33" i="29"/>
  <c r="AX33" i="29"/>
  <c r="AW33" i="29"/>
  <c r="AU33" i="29"/>
  <c r="AT33" i="29"/>
  <c r="AS33" i="29"/>
  <c r="AR33" i="29"/>
  <c r="AQ33" i="29"/>
  <c r="AO33" i="29"/>
  <c r="AN33" i="29"/>
  <c r="AM33" i="29"/>
  <c r="AL33" i="29"/>
  <c r="AK33" i="29"/>
  <c r="AI33" i="29"/>
  <c r="AH33" i="29"/>
  <c r="AG33" i="29"/>
  <c r="AF33" i="29"/>
  <c r="AE33" i="29"/>
  <c r="AC33" i="29"/>
  <c r="AB33" i="29"/>
  <c r="AA33" i="29"/>
  <c r="Z33" i="29"/>
  <c r="Y33" i="29"/>
  <c r="W33" i="29"/>
  <c r="V33" i="29"/>
  <c r="U33" i="29"/>
  <c r="T33" i="29"/>
  <c r="S33" i="29"/>
  <c r="CB10" i="29"/>
  <c r="BZ10" i="29"/>
  <c r="BX10" i="29"/>
  <c r="BU10" i="29"/>
  <c r="BS10" i="29"/>
  <c r="BK10" i="29"/>
  <c r="BI10" i="29"/>
  <c r="BD10" i="29"/>
  <c r="AY10" i="29"/>
  <c r="AF10" i="29"/>
  <c r="I97" i="29"/>
  <c r="BB24" i="28"/>
  <c r="V4" i="29" s="1"/>
  <c r="BC24" i="28"/>
  <c r="BE24" i="28"/>
  <c r="W4" i="29" s="1"/>
  <c r="BF24" i="28"/>
  <c r="AC4" i="29" s="1"/>
  <c r="BH24" i="28"/>
  <c r="BI24" i="28"/>
  <c r="BJ24" i="28"/>
  <c r="BK24" i="28"/>
  <c r="BL24" i="28"/>
  <c r="BM24" i="28"/>
  <c r="BB25" i="28"/>
  <c r="AH4" i="29" s="1"/>
  <c r="BC25" i="28"/>
  <c r="AN4" i="29" s="1"/>
  <c r="BE25" i="28"/>
  <c r="AI4" i="29" s="1"/>
  <c r="BF25" i="28"/>
  <c r="AO4" i="29" s="1"/>
  <c r="BK25" i="28"/>
  <c r="BL25" i="28"/>
  <c r="BM25" i="28"/>
  <c r="BB26" i="28"/>
  <c r="AT4" i="29" s="1"/>
  <c r="BC26" i="28"/>
  <c r="AZ4" i="29" s="1"/>
  <c r="BE26" i="28"/>
  <c r="BF26" i="28"/>
  <c r="BA4" i="29" s="1"/>
  <c r="BH26" i="28"/>
  <c r="BI26" i="28"/>
  <c r="BJ26" i="28"/>
  <c r="BK26" i="28"/>
  <c r="BL26" i="28"/>
  <c r="BM26" i="28"/>
  <c r="BB27" i="28"/>
  <c r="BF4" i="29" s="1"/>
  <c r="BC27" i="28"/>
  <c r="BL4" i="29" s="1"/>
  <c r="BE27" i="28"/>
  <c r="BF27" i="28"/>
  <c r="BM4" i="29" s="1"/>
  <c r="BH27" i="28"/>
  <c r="BI27" i="28"/>
  <c r="BJ27" i="28"/>
  <c r="BK27" i="28"/>
  <c r="BL27" i="28"/>
  <c r="BM27" i="28"/>
  <c r="BB28" i="28"/>
  <c r="BS4" i="29" s="1"/>
  <c r="BN105" i="29" s="1"/>
  <c r="BC28" i="28"/>
  <c r="CA4" i="29" s="1"/>
  <c r="BV104" i="29" s="1"/>
  <c r="BE28" i="28"/>
  <c r="BU4" i="29" s="1"/>
  <c r="BF28" i="28"/>
  <c r="CC4" i="29" s="1"/>
  <c r="BH28" i="28"/>
  <c r="BI28" i="28"/>
  <c r="BJ28" i="28"/>
  <c r="BK28" i="28"/>
  <c r="BL28" i="28"/>
  <c r="BM28" i="28"/>
  <c r="B35" i="28"/>
  <c r="B36" i="28"/>
  <c r="B37" i="28"/>
  <c r="B38" i="28"/>
  <c r="B39" i="28"/>
  <c r="B40" i="28"/>
  <c r="B41" i="28"/>
  <c r="B42" i="28"/>
  <c r="B43" i="28"/>
  <c r="B44" i="28"/>
  <c r="B45" i="28"/>
  <c r="D6" i="24"/>
  <c r="D22" i="24" s="1"/>
  <c r="A81" i="24"/>
  <c r="B81" i="24"/>
  <c r="A82" i="24"/>
  <c r="B82" i="24"/>
  <c r="A83" i="24"/>
  <c r="B83" i="24"/>
  <c r="A84" i="24"/>
  <c r="B84" i="24"/>
  <c r="A85" i="24"/>
  <c r="B85" i="24"/>
  <c r="A86" i="24"/>
  <c r="B86" i="24"/>
  <c r="A87" i="24"/>
  <c r="B87" i="24"/>
  <c r="A88" i="24"/>
  <c r="B88" i="24"/>
  <c r="A89" i="24"/>
  <c r="B89" i="24"/>
  <c r="A90" i="24"/>
  <c r="B90" i="24"/>
  <c r="A91" i="24"/>
  <c r="B91" i="24"/>
  <c r="A92" i="24"/>
  <c r="B92" i="24"/>
  <c r="A93" i="24"/>
  <c r="B93" i="24"/>
  <c r="A94" i="24"/>
  <c r="B94" i="24"/>
  <c r="A95" i="24"/>
  <c r="B95" i="24"/>
  <c r="A96" i="24"/>
  <c r="B96" i="24"/>
  <c r="A97" i="24"/>
  <c r="B97" i="24"/>
  <c r="A98" i="24"/>
  <c r="B98" i="24"/>
  <c r="A99" i="24"/>
  <c r="B99" i="24"/>
  <c r="A69" i="24"/>
  <c r="A70" i="24"/>
  <c r="A72" i="24"/>
  <c r="A73" i="24"/>
  <c r="A74" i="24"/>
  <c r="A75" i="24"/>
  <c r="A76" i="24"/>
  <c r="A77" i="24"/>
  <c r="A68" i="24"/>
  <c r="B80" i="24"/>
  <c r="A80" i="24"/>
  <c r="J97" i="29"/>
  <c r="AJ90" i="29"/>
  <c r="AJ99" i="29" s="1"/>
  <c r="V6" i="29" l="1"/>
  <c r="AH6" i="29"/>
  <c r="BF6" i="29"/>
  <c r="Y99" i="29"/>
  <c r="AB7" i="29"/>
  <c r="AK99" i="29"/>
  <c r="AN7" i="29"/>
  <c r="AW99" i="29"/>
  <c r="AZ7" i="29"/>
  <c r="S99" i="29"/>
  <c r="R99" i="29" s="1"/>
  <c r="V7" i="29"/>
  <c r="AE99" i="29"/>
  <c r="AH7" i="29"/>
  <c r="AQ99" i="29"/>
  <c r="AT7" i="29"/>
  <c r="BC99" i="29"/>
  <c r="BF7" i="29"/>
  <c r="AB6" i="29"/>
  <c r="AT6" i="29"/>
  <c r="AZ6" i="29"/>
  <c r="BL6" i="29"/>
  <c r="BL7" i="29"/>
  <c r="BH48" i="29"/>
  <c r="K106" i="29"/>
  <c r="H45" i="24" s="1"/>
  <c r="I45" i="24" s="1"/>
  <c r="K107" i="29"/>
  <c r="H46" i="24" s="1"/>
  <c r="I46" i="24" s="1"/>
  <c r="AD102" i="29"/>
  <c r="AP102" i="29"/>
  <c r="BB102" i="29"/>
  <c r="AJ102" i="29"/>
  <c r="AV102" i="29"/>
  <c r="BH102" i="29"/>
  <c r="O90" i="29"/>
  <c r="O99" i="29" s="1"/>
  <c r="X102" i="29"/>
  <c r="AV90" i="29"/>
  <c r="AV99" i="29" s="1"/>
  <c r="BV90" i="29"/>
  <c r="BV99" i="29" s="1"/>
  <c r="X90" i="29"/>
  <c r="X99" i="29" s="1"/>
  <c r="K108" i="29"/>
  <c r="H47" i="24" s="1"/>
  <c r="I47" i="24" s="1"/>
  <c r="BH90" i="29"/>
  <c r="BH99" i="29" s="1"/>
  <c r="AP90" i="29"/>
  <c r="AP99" i="29" s="1"/>
  <c r="BB90" i="29"/>
  <c r="BB99" i="29" s="1"/>
  <c r="BN90" i="29"/>
  <c r="BN99" i="29" s="1"/>
  <c r="BG28" i="28"/>
  <c r="BM99" i="29"/>
  <c r="BD28" i="28"/>
  <c r="BG25" i="28"/>
  <c r="BF29" i="28"/>
  <c r="AR98" i="29"/>
  <c r="AI98" i="29"/>
  <c r="AW98" i="29"/>
  <c r="AY98" i="29"/>
  <c r="BF98" i="29"/>
  <c r="BG98" i="29"/>
  <c r="BI98" i="29"/>
  <c r="BE29" i="28"/>
  <c r="BD26" i="28"/>
  <c r="AL98" i="29"/>
  <c r="AN98" i="29"/>
  <c r="AO98" i="29"/>
  <c r="AX98" i="29"/>
  <c r="BE98" i="29"/>
  <c r="BP98" i="29"/>
  <c r="BR98" i="29"/>
  <c r="BT98" i="29"/>
  <c r="BW98" i="29"/>
  <c r="BY98" i="29"/>
  <c r="CA98" i="29"/>
  <c r="CC98" i="29"/>
  <c r="BA98" i="29"/>
  <c r="BC98" i="29"/>
  <c r="BG24" i="28"/>
  <c r="I101" i="29"/>
  <c r="BB80" i="29"/>
  <c r="R10" i="29"/>
  <c r="AO47" i="29"/>
  <c r="AO37" i="29" s="1"/>
  <c r="AO27" i="29" s="1"/>
  <c r="BA47" i="29"/>
  <c r="BA37" i="29" s="1"/>
  <c r="BA27" i="29" s="1"/>
  <c r="BM47" i="29"/>
  <c r="BM37" i="29" s="1"/>
  <c r="BM27" i="29" s="1"/>
  <c r="T47" i="29"/>
  <c r="T37" i="29" s="1"/>
  <c r="T27" i="29" s="1"/>
  <c r="BO47" i="29"/>
  <c r="BO37" i="29" s="1"/>
  <c r="BO27" i="29" s="1"/>
  <c r="R74" i="29"/>
  <c r="BN74" i="29"/>
  <c r="AJ74" i="29"/>
  <c r="P107" i="29"/>
  <c r="P106" i="29"/>
  <c r="M90" i="29"/>
  <c r="M99" i="29" s="1"/>
  <c r="BB29" i="28"/>
  <c r="BD27" i="28"/>
  <c r="BK29" i="28"/>
  <c r="BM29" i="28"/>
  <c r="AX10" i="29"/>
  <c r="AC47" i="29"/>
  <c r="AC37" i="29" s="1"/>
  <c r="AC27" i="29" s="1"/>
  <c r="CC47" i="29"/>
  <c r="CC37" i="29" s="1"/>
  <c r="CC27" i="29" s="1"/>
  <c r="AD80" i="29"/>
  <c r="BN104" i="29"/>
  <c r="BN80" i="29"/>
  <c r="R80" i="29"/>
  <c r="W47" i="29"/>
  <c r="W37" i="29" s="1"/>
  <c r="W27" i="29" s="1"/>
  <c r="Y47" i="29"/>
  <c r="Y37" i="29" s="1"/>
  <c r="Y27" i="29" s="1"/>
  <c r="AW47" i="29"/>
  <c r="BX47" i="29"/>
  <c r="BX37" i="29" s="1"/>
  <c r="Z47" i="29"/>
  <c r="Z37" i="29" s="1"/>
  <c r="Z27" i="29" s="1"/>
  <c r="AL47" i="29"/>
  <c r="AL37" i="29" s="1"/>
  <c r="AL27" i="29" s="1"/>
  <c r="AX47" i="29"/>
  <c r="AX37" i="29" s="1"/>
  <c r="AX27" i="29" s="1"/>
  <c r="BJ47" i="29"/>
  <c r="BJ37" i="29" s="1"/>
  <c r="BJ27" i="29" s="1"/>
  <c r="BW47" i="29"/>
  <c r="BW37" i="29" s="1"/>
  <c r="BW27" i="29" s="1"/>
  <c r="BY47" i="29"/>
  <c r="BY37" i="29" s="1"/>
  <c r="BY27" i="29" s="1"/>
  <c r="AW37" i="29"/>
  <c r="AW27" i="29" s="1"/>
  <c r="BH80" i="29"/>
  <c r="J101" i="29"/>
  <c r="N90" i="29"/>
  <c r="N99" i="29" s="1"/>
  <c r="P90" i="29"/>
  <c r="P99" i="29" s="1"/>
  <c r="U10" i="29"/>
  <c r="Z10" i="29"/>
  <c r="AB10" i="29"/>
  <c r="AC10" i="29"/>
  <c r="AE10" i="29"/>
  <c r="AG10" i="29"/>
  <c r="AL10" i="29"/>
  <c r="AN10" i="29"/>
  <c r="AO10" i="29"/>
  <c r="AQ10" i="29"/>
  <c r="AS10" i="29"/>
  <c r="BJ10" i="29"/>
  <c r="BM10" i="29"/>
  <c r="BP10" i="29"/>
  <c r="BR10" i="29"/>
  <c r="BT10" i="29"/>
  <c r="CC10" i="29"/>
  <c r="AD38" i="29"/>
  <c r="BV38" i="29"/>
  <c r="X48" i="29"/>
  <c r="AG47" i="29"/>
  <c r="AG37" i="29" s="1"/>
  <c r="AG27" i="29" s="1"/>
  <c r="AJ48" i="29"/>
  <c r="AV48" i="29"/>
  <c r="BE47" i="29"/>
  <c r="BE37" i="29" s="1"/>
  <c r="BE27" i="29" s="1"/>
  <c r="BV48" i="29"/>
  <c r="Q65" i="29"/>
  <c r="P70" i="29"/>
  <c r="BB74" i="29"/>
  <c r="Q90" i="29"/>
  <c r="Q99" i="29" s="1"/>
  <c r="R102" i="29"/>
  <c r="BV10" i="29"/>
  <c r="BA10" i="29"/>
  <c r="BY10" i="29"/>
  <c r="M33" i="29"/>
  <c r="O33" i="29"/>
  <c r="L35" i="29"/>
  <c r="L17" i="31" s="1"/>
  <c r="J17" i="31" s="1"/>
  <c r="O59" i="29"/>
  <c r="M65" i="29"/>
  <c r="O65" i="29"/>
  <c r="X65" i="29"/>
  <c r="N65" i="29"/>
  <c r="P65" i="29"/>
  <c r="AJ65" i="29"/>
  <c r="AV65" i="29"/>
  <c r="BH65" i="29"/>
  <c r="BV65" i="29"/>
  <c r="S10" i="29"/>
  <c r="AZ10" i="29"/>
  <c r="BC10" i="29"/>
  <c r="BE10" i="29"/>
  <c r="BL10" i="29"/>
  <c r="BW10" i="29"/>
  <c r="CA10" i="29"/>
  <c r="L34" i="29"/>
  <c r="L16" i="31" s="1"/>
  <c r="J16" i="31" s="1"/>
  <c r="N33" i="29"/>
  <c r="O38" i="29"/>
  <c r="R38" i="29"/>
  <c r="AJ38" i="29"/>
  <c r="AV38" i="29"/>
  <c r="BH38" i="29"/>
  <c r="R48" i="29"/>
  <c r="AA47" i="29"/>
  <c r="AA37" i="29" s="1"/>
  <c r="AA27" i="29" s="1"/>
  <c r="AD48" i="29"/>
  <c r="AK47" i="29"/>
  <c r="AK37" i="29" s="1"/>
  <c r="AK27" i="29" s="1"/>
  <c r="AM47" i="29"/>
  <c r="AM37" i="29" s="1"/>
  <c r="AM27" i="29" s="1"/>
  <c r="AP48" i="29"/>
  <c r="AR47" i="29"/>
  <c r="AR37" i="29" s="1"/>
  <c r="AR27" i="29" s="1"/>
  <c r="AY47" i="29"/>
  <c r="AY37" i="29" s="1"/>
  <c r="AY27" i="29" s="1"/>
  <c r="BB48" i="29"/>
  <c r="BI47" i="29"/>
  <c r="BI37" i="29" s="1"/>
  <c r="BK47" i="29"/>
  <c r="BK37" i="29" s="1"/>
  <c r="BN48" i="29"/>
  <c r="BZ47" i="29"/>
  <c r="BZ37" i="29" s="1"/>
  <c r="CB47" i="29"/>
  <c r="CB37" i="29" s="1"/>
  <c r="CB27" i="29" s="1"/>
  <c r="N48" i="29"/>
  <c r="X59" i="29"/>
  <c r="P59" i="29"/>
  <c r="AJ59" i="29"/>
  <c r="AV59" i="29"/>
  <c r="BV59" i="29"/>
  <c r="N70" i="29"/>
  <c r="O70" i="29"/>
  <c r="V98" i="29"/>
  <c r="W98" i="29"/>
  <c r="Y98" i="29"/>
  <c r="AA98" i="29"/>
  <c r="AF98" i="29"/>
  <c r="AH98" i="29"/>
  <c r="BK98" i="29"/>
  <c r="BO98" i="29"/>
  <c r="BQ98" i="29"/>
  <c r="BS98" i="29"/>
  <c r="BU98" i="29"/>
  <c r="BX98" i="29"/>
  <c r="BZ98" i="29"/>
  <c r="CB98" i="29"/>
  <c r="X38" i="29"/>
  <c r="N59" i="29"/>
  <c r="T10" i="29"/>
  <c r="W10" i="29"/>
  <c r="AA10" i="29"/>
  <c r="AI10" i="29"/>
  <c r="AM10" i="29"/>
  <c r="AR10" i="29"/>
  <c r="AU10" i="29"/>
  <c r="AW10" i="29"/>
  <c r="BG10" i="29"/>
  <c r="BQ10" i="29"/>
  <c r="Q48" i="29"/>
  <c r="P33" i="29"/>
  <c r="Q33" i="29"/>
  <c r="X33" i="29"/>
  <c r="AJ33" i="29"/>
  <c r="AV33" i="29"/>
  <c r="BH33" i="29"/>
  <c r="BV33" i="29"/>
  <c r="N38" i="29"/>
  <c r="P38" i="29"/>
  <c r="Q38" i="29"/>
  <c r="BN38" i="29"/>
  <c r="BB38" i="29"/>
  <c r="S47" i="29"/>
  <c r="S37" i="29" s="1"/>
  <c r="S27" i="29" s="1"/>
  <c r="U47" i="29"/>
  <c r="U37" i="29" s="1"/>
  <c r="U27" i="29" s="1"/>
  <c r="AE47" i="29"/>
  <c r="AE37" i="29" s="1"/>
  <c r="AE27" i="29" s="1"/>
  <c r="AS47" i="29"/>
  <c r="AS37" i="29" s="1"/>
  <c r="AS27" i="29" s="1"/>
  <c r="BC47" i="29"/>
  <c r="BC37" i="29" s="1"/>
  <c r="BC27" i="29" s="1"/>
  <c r="BP47" i="29"/>
  <c r="BP37" i="29" s="1"/>
  <c r="BP27" i="29" s="1"/>
  <c r="BR47" i="29"/>
  <c r="BR37" i="29" s="1"/>
  <c r="BR27" i="29" s="1"/>
  <c r="R59" i="29"/>
  <c r="AD59" i="29"/>
  <c r="Q59" i="29"/>
  <c r="BB59" i="29"/>
  <c r="BN59" i="29"/>
  <c r="BQ47" i="29"/>
  <c r="BQ37" i="29" s="1"/>
  <c r="BQ27" i="29" s="1"/>
  <c r="BH74" i="29"/>
  <c r="S98" i="29"/>
  <c r="U98" i="29"/>
  <c r="Z98" i="29"/>
  <c r="AB98" i="29"/>
  <c r="AC98" i="29"/>
  <c r="AE98" i="29"/>
  <c r="AG98" i="29"/>
  <c r="AT98" i="29"/>
  <c r="AU98" i="29"/>
  <c r="BD98" i="29"/>
  <c r="X80" i="29"/>
  <c r="AV80" i="29"/>
  <c r="BV80" i="29"/>
  <c r="M59" i="29"/>
  <c r="BH59" i="29"/>
  <c r="AQ47" i="29"/>
  <c r="AQ37" i="29" s="1"/>
  <c r="AQ27" i="29" s="1"/>
  <c r="AP59" i="29"/>
  <c r="BV105" i="29"/>
  <c r="K109" i="29"/>
  <c r="BG4" i="29"/>
  <c r="BG27" i="28"/>
  <c r="AU4" i="29"/>
  <c r="BG26" i="28"/>
  <c r="AB4" i="29"/>
  <c r="BD24" i="28"/>
  <c r="BC29" i="28"/>
  <c r="BN102" i="29"/>
  <c r="BI29" i="28"/>
  <c r="M10" i="29"/>
  <c r="O10" i="29"/>
  <c r="G19" i="24"/>
  <c r="BD25" i="28"/>
  <c r="V10" i="29"/>
  <c r="Y10" i="29"/>
  <c r="AH10" i="29"/>
  <c r="AK10" i="29"/>
  <c r="AT10" i="29"/>
  <c r="BO10" i="29"/>
  <c r="AP38" i="29"/>
  <c r="BH29" i="28"/>
  <c r="BF10" i="29"/>
  <c r="N10" i="29"/>
  <c r="P10" i="29"/>
  <c r="Q10" i="29"/>
  <c r="BV102" i="29"/>
  <c r="L11" i="31"/>
  <c r="J11" i="31" s="1"/>
  <c r="R33" i="29"/>
  <c r="AD33" i="29"/>
  <c r="AP33" i="29"/>
  <c r="BB33" i="29"/>
  <c r="BN33" i="29"/>
  <c r="L36" i="29"/>
  <c r="L18" i="31" s="1"/>
  <c r="J18" i="31" s="1"/>
  <c r="M38" i="29"/>
  <c r="V47" i="29"/>
  <c r="V37" i="29" s="1"/>
  <c r="V27" i="29" s="1"/>
  <c r="AH47" i="29"/>
  <c r="AH37" i="29" s="1"/>
  <c r="AH27" i="29" s="1"/>
  <c r="AT47" i="29"/>
  <c r="AT37" i="29" s="1"/>
  <c r="AT27" i="29" s="1"/>
  <c r="AU47" i="29"/>
  <c r="AU37" i="29" s="1"/>
  <c r="AU27" i="29" s="1"/>
  <c r="BF47" i="29"/>
  <c r="BF37" i="29" s="1"/>
  <c r="BF27" i="29" s="1"/>
  <c r="BS47" i="29"/>
  <c r="BS37" i="29" s="1"/>
  <c r="BU47" i="29"/>
  <c r="BU37" i="29" s="1"/>
  <c r="BU27" i="29" s="1"/>
  <c r="M48" i="29"/>
  <c r="O48" i="29"/>
  <c r="R65" i="29"/>
  <c r="AD65" i="29"/>
  <c r="AF47" i="29"/>
  <c r="AF37" i="29" s="1"/>
  <c r="AP65" i="29"/>
  <c r="BB65" i="29"/>
  <c r="BD47" i="29"/>
  <c r="BD37" i="29" s="1"/>
  <c r="BN65" i="29"/>
  <c r="M70" i="29"/>
  <c r="AD74" i="29"/>
  <c r="AP74" i="29"/>
  <c r="T98" i="29"/>
  <c r="AK98" i="29"/>
  <c r="AM98" i="29"/>
  <c r="AZ98" i="29"/>
  <c r="L92" i="29"/>
  <c r="AV74" i="29"/>
  <c r="AQ98" i="29"/>
  <c r="AS98" i="29"/>
  <c r="BJ29" i="28"/>
  <c r="BL29" i="28"/>
  <c r="X10" i="29"/>
  <c r="AJ10" i="29"/>
  <c r="AP10" i="29"/>
  <c r="BB10" i="29"/>
  <c r="AB47" i="29"/>
  <c r="AB37" i="29" s="1"/>
  <c r="AB27" i="29" s="1"/>
  <c r="AI47" i="29"/>
  <c r="AI37" i="29" s="1"/>
  <c r="AI27" i="29" s="1"/>
  <c r="AN47" i="29"/>
  <c r="AN37" i="29" s="1"/>
  <c r="AN27" i="29" s="1"/>
  <c r="AZ47" i="29"/>
  <c r="AZ37" i="29" s="1"/>
  <c r="AZ27" i="29" s="1"/>
  <c r="BG47" i="29"/>
  <c r="BG37" i="29" s="1"/>
  <c r="BG27" i="29" s="1"/>
  <c r="BL47" i="29"/>
  <c r="BL37" i="29" s="1"/>
  <c r="BL27" i="29" s="1"/>
  <c r="CA47" i="29"/>
  <c r="CA37" i="29" s="1"/>
  <c r="CA27" i="29" s="1"/>
  <c r="P48" i="29"/>
  <c r="BT47" i="29"/>
  <c r="BT37" i="29" s="1"/>
  <c r="BT27" i="29" s="1"/>
  <c r="R70" i="29"/>
  <c r="X74" i="29"/>
  <c r="BV74" i="29"/>
  <c r="BJ98" i="29"/>
  <c r="BL98" i="29"/>
  <c r="BM98" i="29"/>
  <c r="P98" i="29"/>
  <c r="L91" i="29"/>
  <c r="L65" i="31" s="1"/>
  <c r="BN28" i="28" l="1"/>
  <c r="BZ27" i="29"/>
  <c r="BZ97" i="29" s="1"/>
  <c r="BZ101" i="29" s="1"/>
  <c r="BI27" i="29"/>
  <c r="BI97" i="29" s="1"/>
  <c r="BI101" i="29" s="1"/>
  <c r="K92" i="29"/>
  <c r="K66" i="31" s="1"/>
  <c r="K74" i="31" s="1"/>
  <c r="L66" i="31"/>
  <c r="L74" i="31" s="1"/>
  <c r="BU97" i="29"/>
  <c r="BU101" i="29" s="1"/>
  <c r="AY97" i="29"/>
  <c r="AY101" i="29" s="1"/>
  <c r="BX27" i="29"/>
  <c r="BX97" i="29" s="1"/>
  <c r="BX101" i="29" s="1"/>
  <c r="BS27" i="29"/>
  <c r="BS97" i="29" s="1"/>
  <c r="BS101" i="29" s="1"/>
  <c r="BK27" i="29"/>
  <c r="BK97" i="29" s="1"/>
  <c r="BK101" i="29" s="1"/>
  <c r="BD27" i="29"/>
  <c r="BD97" i="29" s="1"/>
  <c r="BD101" i="29" s="1"/>
  <c r="AF27" i="29"/>
  <c r="AF97" i="29" s="1"/>
  <c r="AF101" i="29" s="1"/>
  <c r="AS97" i="29"/>
  <c r="AS101" i="29" s="1"/>
  <c r="U97" i="29"/>
  <c r="K34" i="29"/>
  <c r="K16" i="31" s="1"/>
  <c r="I16" i="31" s="1"/>
  <c r="K35" i="29"/>
  <c r="K17" i="31" s="1"/>
  <c r="I17" i="31" s="1"/>
  <c r="K14" i="32"/>
  <c r="BL97" i="29"/>
  <c r="BN25" i="28"/>
  <c r="BN27" i="28"/>
  <c r="AZ97" i="29"/>
  <c r="AZ101" i="29" s="1"/>
  <c r="AI97" i="29"/>
  <c r="AI101" i="29" s="1"/>
  <c r="AN97" i="29"/>
  <c r="AN101" i="29" s="1"/>
  <c r="AV98" i="29"/>
  <c r="K13" i="32"/>
  <c r="Z97" i="29"/>
  <c r="Z101" i="29" s="1"/>
  <c r="BG97" i="29"/>
  <c r="BG101" i="29" s="1"/>
  <c r="AU97" i="29"/>
  <c r="AU101" i="29" s="1"/>
  <c r="AQ97" i="29"/>
  <c r="AQ101" i="29" s="1"/>
  <c r="BP97" i="29"/>
  <c r="BP101" i="29" s="1"/>
  <c r="BY97" i="29"/>
  <c r="BY101" i="29" s="1"/>
  <c r="BV47" i="29"/>
  <c r="BV37" i="29" s="1"/>
  <c r="BV27" i="29" s="1"/>
  <c r="AA97" i="29"/>
  <c r="AA101" i="29" s="1"/>
  <c r="CA97" i="29"/>
  <c r="CA101" i="29" s="1"/>
  <c r="AB97" i="29"/>
  <c r="AB101" i="29" s="1"/>
  <c r="BB98" i="29"/>
  <c r="BR97" i="29"/>
  <c r="BR101" i="29" s="1"/>
  <c r="AE97" i="29"/>
  <c r="AG97" i="29"/>
  <c r="AG101" i="29" s="1"/>
  <c r="L59" i="29"/>
  <c r="L41" i="31" s="1"/>
  <c r="BO97" i="29"/>
  <c r="BO101" i="29" s="1"/>
  <c r="L65" i="29"/>
  <c r="L46" i="31" s="1"/>
  <c r="O98" i="29"/>
  <c r="M98" i="29"/>
  <c r="N98" i="29"/>
  <c r="Q98" i="29"/>
  <c r="BC97" i="29"/>
  <c r="S97" i="29"/>
  <c r="BE97" i="29"/>
  <c r="BE101" i="29" s="1"/>
  <c r="T97" i="29"/>
  <c r="T101" i="29" s="1"/>
  <c r="P47" i="29"/>
  <c r="P37" i="29" s="1"/>
  <c r="AX97" i="29"/>
  <c r="AX101" i="29" s="1"/>
  <c r="BB47" i="29"/>
  <c r="BB37" i="29" s="1"/>
  <c r="BB27" i="29" s="1"/>
  <c r="AV47" i="29"/>
  <c r="AV37" i="29" s="1"/>
  <c r="AV27" i="29" s="1"/>
  <c r="M47" i="29"/>
  <c r="M37" i="29" s="1"/>
  <c r="BH10" i="29"/>
  <c r="N47" i="29"/>
  <c r="N37" i="29" s="1"/>
  <c r="N27" i="29" s="1"/>
  <c r="L98" i="29"/>
  <c r="R47" i="29"/>
  <c r="R37" i="29" s="1"/>
  <c r="R27" i="29" s="1"/>
  <c r="AD10" i="29"/>
  <c r="O47" i="29"/>
  <c r="O37" i="29" s="1"/>
  <c r="O27" i="29" s="1"/>
  <c r="Q47" i="29"/>
  <c r="Q37" i="29" s="1"/>
  <c r="BW97" i="29"/>
  <c r="BW101" i="29" s="1"/>
  <c r="CC97" i="29"/>
  <c r="CC101" i="29" s="1"/>
  <c r="BN10" i="29"/>
  <c r="AC97" i="29"/>
  <c r="AC101" i="29" s="1"/>
  <c r="BA97" i="29"/>
  <c r="BA101" i="29" s="1"/>
  <c r="AL97" i="29"/>
  <c r="AL101" i="29" s="1"/>
  <c r="BH47" i="29"/>
  <c r="BH37" i="29" s="1"/>
  <c r="BH27" i="29" s="1"/>
  <c r="BM97" i="29"/>
  <c r="BM101" i="29" s="1"/>
  <c r="BJ97" i="29"/>
  <c r="BJ101" i="29" s="1"/>
  <c r="AR97" i="29"/>
  <c r="L70" i="29"/>
  <c r="L51" i="31" s="1"/>
  <c r="AO97" i="29"/>
  <c r="AO101" i="29" s="1"/>
  <c r="BN47" i="29"/>
  <c r="BN37" i="29" s="1"/>
  <c r="BN27" i="29" s="1"/>
  <c r="Y97" i="29"/>
  <c r="Y101" i="29" s="1"/>
  <c r="W97" i="29"/>
  <c r="W101" i="29" s="1"/>
  <c r="AJ47" i="29"/>
  <c r="AJ37" i="29" s="1"/>
  <c r="AJ27" i="29" s="1"/>
  <c r="X47" i="29"/>
  <c r="X37" i="29" s="1"/>
  <c r="X27" i="29" s="1"/>
  <c r="BQ97" i="29"/>
  <c r="BQ101" i="29" s="1"/>
  <c r="U101" i="29"/>
  <c r="AV10" i="29"/>
  <c r="AD47" i="29"/>
  <c r="AD37" i="29" s="1"/>
  <c r="AD27" i="29" s="1"/>
  <c r="AD98" i="29"/>
  <c r="BV98" i="29"/>
  <c r="BN98" i="29"/>
  <c r="X98" i="29"/>
  <c r="AM97" i="29"/>
  <c r="AM101" i="29" s="1"/>
  <c r="AP47" i="29"/>
  <c r="AP37" i="29" s="1"/>
  <c r="AP27" i="29" s="1"/>
  <c r="AP98" i="29"/>
  <c r="AJ98" i="29"/>
  <c r="R98" i="29"/>
  <c r="AW97" i="29"/>
  <c r="L48" i="29"/>
  <c r="L30" i="31" s="1"/>
  <c r="CB93" i="29"/>
  <c r="CB97" i="29"/>
  <c r="CB101" i="29" s="1"/>
  <c r="K38" i="29"/>
  <c r="K20" i="31" s="1"/>
  <c r="L38" i="29"/>
  <c r="L20" i="31" s="1"/>
  <c r="AT97" i="29"/>
  <c r="AT101" i="29" s="1"/>
  <c r="AH97" i="29"/>
  <c r="AH101" i="29" s="1"/>
  <c r="K74" i="29"/>
  <c r="K54" i="31" s="1"/>
  <c r="G15" i="24"/>
  <c r="K36" i="29"/>
  <c r="K18" i="31" s="1"/>
  <c r="I18" i="31" s="1"/>
  <c r="L33" i="29"/>
  <c r="F8" i="24"/>
  <c r="G8" i="24"/>
  <c r="BN24" i="28"/>
  <c r="BD29" i="28"/>
  <c r="BG29" i="28"/>
  <c r="BN26" i="28"/>
  <c r="BF97" i="29"/>
  <c r="BF101" i="29" s="1"/>
  <c r="AK97" i="29"/>
  <c r="V97" i="29"/>
  <c r="V101" i="29" s="1"/>
  <c r="BT97" i="29"/>
  <c r="BT93" i="29"/>
  <c r="BL101" i="29"/>
  <c r="K91" i="29"/>
  <c r="K65" i="31" s="1"/>
  <c r="L90" i="29"/>
  <c r="L64" i="31" s="1"/>
  <c r="L73" i="31" s="1"/>
  <c r="BH98" i="29"/>
  <c r="K18" i="32" l="1"/>
  <c r="BH105" i="29"/>
  <c r="AV105" i="29"/>
  <c r="BB105" i="29"/>
  <c r="K67" i="32"/>
  <c r="L15" i="31"/>
  <c r="K17" i="32"/>
  <c r="O97" i="29"/>
  <c r="N97" i="29"/>
  <c r="N101" i="29" s="1"/>
  <c r="Q27" i="29"/>
  <c r="Q97" i="29" s="1"/>
  <c r="Q101" i="29" s="1"/>
  <c r="M27" i="29"/>
  <c r="M97" i="29" s="1"/>
  <c r="M101" i="29" s="1"/>
  <c r="P27" i="29"/>
  <c r="P97" i="29" s="1"/>
  <c r="P101" i="29" s="1"/>
  <c r="K70" i="29"/>
  <c r="K51" i="31" s="1"/>
  <c r="K65" i="29"/>
  <c r="K59" i="29"/>
  <c r="G11" i="24"/>
  <c r="G10" i="24"/>
  <c r="L10" i="31"/>
  <c r="K48" i="29"/>
  <c r="G13" i="24"/>
  <c r="BD140" i="29"/>
  <c r="BD141" i="29" s="1"/>
  <c r="BD142" i="29" s="1"/>
  <c r="AE101" i="29"/>
  <c r="AE140" i="29"/>
  <c r="AE141" i="29" s="1"/>
  <c r="AE142" i="29" s="1"/>
  <c r="AQ140" i="29"/>
  <c r="AQ141" i="29" s="1"/>
  <c r="AQ142" i="29" s="1"/>
  <c r="S101" i="29"/>
  <c r="S140" i="29"/>
  <c r="S141" i="29" s="1"/>
  <c r="S142" i="29" s="1"/>
  <c r="O101" i="29"/>
  <c r="AR101" i="29"/>
  <c r="K102" i="29"/>
  <c r="F10" i="24"/>
  <c r="K12" i="32"/>
  <c r="K90" i="29"/>
  <c r="K66" i="32"/>
  <c r="K33" i="29"/>
  <c r="K19" i="32"/>
  <c r="F15" i="24"/>
  <c r="K51" i="32"/>
  <c r="F13" i="24"/>
  <c r="K21" i="32"/>
  <c r="AP97" i="29"/>
  <c r="AP104" i="29" s="1"/>
  <c r="AD105" i="29"/>
  <c r="X105" i="29"/>
  <c r="R105" i="29"/>
  <c r="AP105" i="29"/>
  <c r="AK101" i="29"/>
  <c r="AJ105" i="29"/>
  <c r="BC101" i="29"/>
  <c r="AW101" i="29"/>
  <c r="K93" i="29"/>
  <c r="BN29" i="28"/>
  <c r="H34" i="24" s="1"/>
  <c r="I34" i="24" s="1"/>
  <c r="L47" i="29"/>
  <c r="L29" i="31" s="1"/>
  <c r="G17" i="24"/>
  <c r="G18" i="24"/>
  <c r="BB97" i="29"/>
  <c r="BB104" i="29" s="1"/>
  <c r="AD97" i="29"/>
  <c r="AD104" i="29" s="1"/>
  <c r="X97" i="29"/>
  <c r="X104" i="29" s="1"/>
  <c r="AV97" i="29"/>
  <c r="AV104" i="29" s="1"/>
  <c r="BH97" i="29"/>
  <c r="BH104" i="29" s="1"/>
  <c r="AJ97" i="29"/>
  <c r="AJ104" i="29" s="1"/>
  <c r="X93" i="29"/>
  <c r="X100" i="29" s="1"/>
  <c r="G7" i="24"/>
  <c r="L10" i="29"/>
  <c r="G6" i="24" s="1"/>
  <c r="BH93" i="29"/>
  <c r="BH100" i="29" s="1"/>
  <c r="BV93" i="29"/>
  <c r="BV100" i="29" s="1"/>
  <c r="CB100" i="29"/>
  <c r="BV97" i="29"/>
  <c r="BV101" i="29" s="1"/>
  <c r="AJ93" i="29"/>
  <c r="AJ100" i="29" s="1"/>
  <c r="AD93" i="29"/>
  <c r="AD100" i="29" s="1"/>
  <c r="AV93" i="29"/>
  <c r="AV100" i="29" s="1"/>
  <c r="BB93" i="29"/>
  <c r="BB100" i="29" s="1"/>
  <c r="G20" i="24"/>
  <c r="L99" i="29"/>
  <c r="R97" i="29"/>
  <c r="R104" i="29" s="1"/>
  <c r="BT101" i="29"/>
  <c r="BN97" i="29"/>
  <c r="BN101" i="29" s="1"/>
  <c r="AP93" i="29"/>
  <c r="AP100" i="29" s="1"/>
  <c r="R93" i="29"/>
  <c r="R100" i="29" s="1"/>
  <c r="BT100" i="29"/>
  <c r="BN93" i="29"/>
  <c r="BN100" i="29" s="1"/>
  <c r="K15" i="31" l="1"/>
  <c r="K45" i="32"/>
  <c r="K46" i="31"/>
  <c r="K40" i="32"/>
  <c r="K41" i="31"/>
  <c r="K31" i="32"/>
  <c r="K30" i="31"/>
  <c r="K65" i="32"/>
  <c r="K64" i="31"/>
  <c r="K73" i="31" s="1"/>
  <c r="D147" i="29"/>
  <c r="D148" i="29" s="1"/>
  <c r="D150" i="29" s="1"/>
  <c r="K11" i="32"/>
  <c r="F20" i="24"/>
  <c r="K99" i="29"/>
  <c r="F11" i="24"/>
  <c r="K16" i="32"/>
  <c r="H28" i="24"/>
  <c r="I28" i="24" s="1"/>
  <c r="H29" i="24"/>
  <c r="I29" i="24" s="1"/>
  <c r="K47" i="29"/>
  <c r="K48" i="32"/>
  <c r="R101" i="29"/>
  <c r="X101" i="29"/>
  <c r="AD101" i="29"/>
  <c r="BH101" i="29"/>
  <c r="AP101" i="29"/>
  <c r="AJ101" i="29"/>
  <c r="BB101" i="29"/>
  <c r="AV101" i="29"/>
  <c r="H30" i="24"/>
  <c r="I30" i="24" s="1"/>
  <c r="H31" i="24"/>
  <c r="I31" i="24" s="1"/>
  <c r="H41" i="24"/>
  <c r="I41" i="24" s="1"/>
  <c r="H36" i="24"/>
  <c r="I36" i="24" s="1"/>
  <c r="H32" i="24"/>
  <c r="I32" i="24" s="1"/>
  <c r="H35" i="24"/>
  <c r="I35" i="24" s="1"/>
  <c r="H27" i="24"/>
  <c r="I27" i="24" s="1"/>
  <c r="H33" i="24"/>
  <c r="I33" i="24" s="1"/>
  <c r="H40" i="24"/>
  <c r="I40" i="24" s="1"/>
  <c r="F18" i="24"/>
  <c r="F7" i="24"/>
  <c r="K10" i="29"/>
  <c r="F6" i="24" s="1"/>
  <c r="K100" i="29"/>
  <c r="I42" i="24" s="1"/>
  <c r="F21" i="24"/>
  <c r="L37" i="29"/>
  <c r="G14" i="24"/>
  <c r="L19" i="31" l="1"/>
  <c r="L27" i="29"/>
  <c r="L9" i="31" s="1"/>
  <c r="L71" i="31" s="1"/>
  <c r="L75" i="31" s="1"/>
  <c r="K30" i="32"/>
  <c r="K29" i="31"/>
  <c r="K37" i="29"/>
  <c r="K27" i="29" s="1"/>
  <c r="F14" i="24"/>
  <c r="G12" i="24"/>
  <c r="K20" i="32" l="1"/>
  <c r="K19" i="31"/>
  <c r="F12" i="24"/>
  <c r="L97" i="29"/>
  <c r="G9" i="24"/>
  <c r="K10" i="32" l="1"/>
  <c r="K9" i="31"/>
  <c r="K71" i="31" s="1"/>
  <c r="K75" i="31" s="1"/>
  <c r="F9" i="24"/>
  <c r="K97" i="29"/>
  <c r="I7" i="24" s="1"/>
  <c r="G16" i="24"/>
  <c r="G22" i="24"/>
  <c r="L101" i="29"/>
  <c r="K105" i="29"/>
  <c r="F16" i="24" l="1"/>
  <c r="H16" i="24" s="1"/>
  <c r="I9" i="24"/>
  <c r="I16" i="24"/>
  <c r="H6" i="24"/>
  <c r="H7" i="24"/>
  <c r="I12" i="24"/>
  <c r="H8" i="24"/>
  <c r="I10" i="24"/>
  <c r="I22" i="24"/>
  <c r="H21" i="24"/>
  <c r="H15" i="24"/>
  <c r="I20" i="24"/>
  <c r="I6" i="24"/>
  <c r="H18" i="24"/>
  <c r="I11" i="24"/>
  <c r="H10" i="24"/>
  <c r="H9" i="24"/>
  <c r="I18" i="24"/>
  <c r="I21" i="24"/>
  <c r="H20" i="24"/>
  <c r="I17" i="24"/>
  <c r="H43" i="24"/>
  <c r="I43" i="24" s="1"/>
  <c r="I19" i="24"/>
  <c r="H12" i="24"/>
  <c r="I13" i="24"/>
  <c r="I14" i="24"/>
  <c r="H14" i="24"/>
  <c r="I8" i="24"/>
  <c r="H13" i="24"/>
  <c r="H11" i="24"/>
  <c r="I15" i="24"/>
  <c r="H39" i="24"/>
  <c r="I39" i="24" s="1"/>
  <c r="H38" i="24"/>
  <c r="I38" i="24" s="1"/>
  <c r="K62" i="32"/>
  <c r="F17" i="24"/>
  <c r="H17" i="24" s="1"/>
  <c r="K98" i="29"/>
  <c r="K101" i="29" s="1"/>
  <c r="F19" i="24"/>
  <c r="H19" i="24" s="1"/>
  <c r="F22" i="24" l="1"/>
  <c r="H22" i="24" s="1"/>
</calcChain>
</file>

<file path=xl/sharedStrings.xml><?xml version="1.0" encoding="utf-8"?>
<sst xmlns="http://schemas.openxmlformats.org/spreadsheetml/2006/main" count="1935" uniqueCount="617">
  <si>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</si>
  <si>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</si>
  <si>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</si>
  <si>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</si>
  <si>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</si>
  <si>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</si>
  <si>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</si>
  <si>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</si>
  <si>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</si>
  <si>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</si>
  <si>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</si>
  <si>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</si>
  <si>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</si>
  <si>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</si>
  <si>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</si>
  <si>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</si>
  <si>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</si>
  <si>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</si>
  <si>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</si>
  <si>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</si>
  <si>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</si>
  <si>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</si>
  <si>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</si>
  <si>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</si>
  <si>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</si>
  <si>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</si>
  <si>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</si>
  <si>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</si>
  <si>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</si>
  <si>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д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</si>
  <si>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</si>
  <si>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</si>
  <si>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</si>
  <si>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</si>
  <si>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</si>
  <si>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</si>
  <si>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</si>
  <si>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</si>
  <si>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</si>
  <si>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</si>
  <si>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</si>
  <si>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</si>
  <si>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</si>
  <si>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</si>
  <si>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</si>
  <si>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</si>
  <si>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</si>
  <si>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</si>
  <si>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</si>
  <si>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</si>
  <si>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</si>
  <si>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</si>
  <si>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</si>
  <si>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государственные экзамены</t>
  </si>
  <si>
    <t>ИТОГО</t>
  </si>
  <si>
    <t>недель</t>
  </si>
  <si>
    <t>Гос. экзамены</t>
  </si>
  <si>
    <t>Защита вып.работы</t>
  </si>
  <si>
    <t>итог</t>
  </si>
  <si>
    <r>
      <t>27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IV</t>
    </r>
  </si>
  <si>
    <r>
      <t>30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III</t>
    </r>
  </si>
  <si>
    <r>
      <t>26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</t>
    </r>
  </si>
  <si>
    <r>
      <t>29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IX</t>
    </r>
  </si>
  <si>
    <t>экзамены</t>
  </si>
  <si>
    <t>зачеты</t>
  </si>
  <si>
    <t>курсовые проекты</t>
  </si>
  <si>
    <t>курсовые работы</t>
  </si>
  <si>
    <t>контрольные работы</t>
  </si>
  <si>
    <t>лекций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</si>
  <si>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</si>
  <si>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</si>
  <si>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</si>
  <si>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</si>
  <si>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</si>
  <si>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</si>
  <si>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</si>
  <si>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</si>
  <si>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</si>
  <si>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</si>
  <si>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10</t>
  </si>
  <si>
    <t>всего аудиторных</t>
  </si>
  <si>
    <t>в том числе</t>
  </si>
  <si>
    <t>всего самостоятельной работы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</si>
  <si>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</si>
  <si>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</si>
  <si>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</si>
  <si>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</si>
  <si>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</si>
  <si>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</si>
  <si>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</si>
  <si>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</si>
  <si>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</si>
  <si>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</si>
  <si>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</si>
  <si>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</si>
  <si>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</si>
  <si>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</si>
  <si>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</si>
  <si>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</si>
  <si>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</si>
  <si>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</si>
  <si>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</si>
  <si>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</si>
  <si>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</si>
  <si>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</si>
  <si>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</si>
  <si>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</si>
  <si>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</si>
  <si>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</si>
  <si>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</si>
  <si>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</si>
  <si>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</si>
  <si>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</si>
  <si>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</si>
  <si>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  <charset val="204"/>
      </rPr>
      <t>X</t>
    </r>
  </si>
  <si>
    <r>
      <t xml:space="preserve"> 2 </t>
    </r>
    <r>
      <rPr>
        <sz val="6"/>
        <rFont val="Times New Roman"/>
        <family val="1"/>
        <charset val="204"/>
      </rPr>
      <t>XI</t>
    </r>
  </si>
  <si>
    <r>
      <t xml:space="preserve"> 4  </t>
    </r>
    <r>
      <rPr>
        <sz val="6"/>
        <rFont val="Times New Roman"/>
        <family val="1"/>
        <charset val="204"/>
      </rPr>
      <t>I</t>
    </r>
  </si>
  <si>
    <r>
      <t xml:space="preserve"> 1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</si>
  <si>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5"/>
        <rFont val="Times New Roman"/>
        <family val="1"/>
        <charset val="204"/>
      </rPr>
      <t>VIII</t>
    </r>
  </si>
  <si>
    <r>
      <t xml:space="preserve"> 5 </t>
    </r>
    <r>
      <rPr>
        <sz val="6"/>
        <rFont val="Times New Roman"/>
        <family val="1"/>
        <charset val="204"/>
      </rPr>
      <t>IV</t>
    </r>
  </si>
  <si>
    <r>
      <t xml:space="preserve"> 3 </t>
    </r>
    <r>
      <rPr>
        <sz val="6"/>
        <rFont val="Times New Roman"/>
        <family val="1"/>
        <charset val="204"/>
      </rPr>
      <t>V</t>
    </r>
  </si>
  <si>
    <r>
      <t>27</t>
    </r>
    <r>
      <rPr>
        <sz val="6"/>
        <rFont val="Times New Roman"/>
        <family val="1"/>
        <charset val="204"/>
      </rPr>
      <t>VII</t>
    </r>
  </si>
  <si>
    <r>
      <t xml:space="preserve"> 3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</si>
  <si>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6"/>
        <rFont val="Times New Roman"/>
        <family val="1"/>
        <charset val="204"/>
      </rPr>
      <t>III</t>
    </r>
  </si>
  <si>
    <r>
      <t xml:space="preserve"> 5 </t>
    </r>
    <r>
      <rPr>
        <sz val="6"/>
        <rFont val="Times New Roman"/>
        <family val="1"/>
        <charset val="204"/>
      </rPr>
      <t>VII</t>
    </r>
  </si>
  <si>
    <r>
      <t>29</t>
    </r>
    <r>
      <rPr>
        <sz val="6"/>
        <rFont val="Times New Roman"/>
        <family val="1"/>
        <charset val="204"/>
      </rPr>
      <t>VI</t>
    </r>
  </si>
  <si>
    <r>
      <t>29</t>
    </r>
    <r>
      <rPr>
        <sz val="6"/>
        <rFont val="Times New Roman"/>
        <family val="1"/>
        <charset val="204"/>
      </rPr>
      <t>XII</t>
    </r>
  </si>
  <si>
    <r>
      <t>27</t>
    </r>
    <r>
      <rPr>
        <sz val="6"/>
        <rFont val="Times New Roman"/>
        <family val="1"/>
        <charset val="204"/>
      </rPr>
      <t>X</t>
    </r>
  </si>
  <si>
    <t>всего часов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</si>
  <si>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</si>
  <si>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</si>
  <si>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</si>
  <si>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</si>
  <si>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</si>
  <si>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</si>
  <si>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</si>
  <si>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</si>
  <si>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</si>
  <si>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</si>
  <si>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Распределение объема часов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</si>
  <si>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</si>
  <si>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</si>
  <si>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</si>
  <si>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</si>
  <si>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</si>
  <si>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</si>
  <si>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</si>
  <si>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</si>
  <si>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</si>
  <si>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</si>
  <si>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</si>
  <si>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</si>
  <si>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</si>
  <si>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</si>
  <si>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</si>
  <si>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</si>
  <si>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</si>
  <si>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</si>
  <si>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</si>
  <si>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</si>
  <si>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</si>
  <si>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</si>
  <si>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</si>
  <si>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</si>
  <si>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</si>
  <si>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</si>
  <si>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</si>
  <si>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</si>
  <si>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</si>
  <si>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</si>
  <si>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</si>
  <si>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</si>
  <si>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ПМ.00</t>
  </si>
  <si>
    <t>Математический и общий естественно-научный цикл</t>
  </si>
  <si>
    <t>Обществознание (включая экономику и право)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</si>
  <si>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</si>
  <si>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</si>
  <si>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</si>
  <si>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</si>
  <si>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</si>
  <si>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</si>
  <si>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ОП.00</t>
  </si>
  <si>
    <t>ОП.01</t>
  </si>
  <si>
    <t>Инженерная графика</t>
  </si>
  <si>
    <t>ОП.02</t>
  </si>
  <si>
    <t>ОП.03</t>
  </si>
  <si>
    <t>Электроника и электротехника</t>
  </si>
  <si>
    <t>ОП.04</t>
  </si>
  <si>
    <t>ОП.05</t>
  </si>
  <si>
    <t>ОП.06</t>
  </si>
  <si>
    <t>ОП.07</t>
  </si>
  <si>
    <t>ОП.08</t>
  </si>
  <si>
    <t>П.00</t>
  </si>
  <si>
    <t>ПМ.03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</si>
  <si>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</si>
  <si>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</si>
  <si>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</si>
  <si>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</si>
  <si>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</si>
  <si>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ПП.00</t>
  </si>
  <si>
    <t>ПП.01</t>
  </si>
  <si>
    <t>ГИА.00</t>
  </si>
  <si>
    <t>Государственная (итоговая) аттестация</t>
  </si>
  <si>
    <t>ГИА.01</t>
  </si>
  <si>
    <t>ГИА.02</t>
  </si>
  <si>
    <t>ВЧ.01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</si>
  <si>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</si>
  <si>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</si>
  <si>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</si>
  <si>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</si>
  <si>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</si>
  <si>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</si>
  <si>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</si>
  <si>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</si>
  <si>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</si>
  <si>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</si>
  <si>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</si>
  <si>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</si>
  <si>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</si>
  <si>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</si>
  <si>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Инженерной графики</t>
  </si>
  <si>
    <t>Лаборатория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</si>
  <si>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</si>
  <si>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</si>
  <si>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</si>
  <si>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</si>
  <si>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</si>
  <si>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</si>
  <si>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</si>
  <si>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курсовых работ</t>
  </si>
  <si>
    <t>Количество курсовых проектов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</si>
  <si>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</si>
  <si>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</si>
  <si>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</si>
  <si>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</si>
  <si>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</si>
  <si>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</si>
  <si>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</si>
  <si>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Количество учебных занятий (часов) в неделю (аудиторная, самостоятельная, физическая культура, консультации и т.д.)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</si>
  <si>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</si>
  <si>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</si>
  <si>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</si>
  <si>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</si>
  <si>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</si>
  <si>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</si>
  <si>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</si>
  <si>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</si>
  <si>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</si>
  <si>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</si>
  <si>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</si>
  <si>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</si>
  <si>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</si>
  <si>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</si>
  <si>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</si>
  <si>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Общеобразовательные профильные дисциплины</t>
  </si>
  <si>
    <t>Общеобразовательные базовые дисциплины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</si>
  <si>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</si>
  <si>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</si>
  <si>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</si>
  <si>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</si>
  <si>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</si>
  <si>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</si>
  <si>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</si>
  <si>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</si>
  <si>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</si>
  <si>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</si>
  <si>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</si>
  <si>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</si>
  <si>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</si>
  <si>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</si>
  <si>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</si>
  <si>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</si>
  <si>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</si>
  <si>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</si>
  <si>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</si>
  <si>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</si>
  <si>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</si>
  <si>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</si>
  <si>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</si>
  <si>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</si>
  <si>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</si>
  <si>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</si>
  <si>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</si>
  <si>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</si>
  <si>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</si>
  <si>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</si>
  <si>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</si>
  <si>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</si>
  <si>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Теория и устройство судна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</si>
  <si>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</si>
  <si>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</si>
  <si>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Ориентироваться в условиях частой смены технологий в профессиональной деятельности</t>
  </si>
  <si>
    <t>Понимать сущность и социальную значимость своей будущей профессии, проявлять к ней устойчивый интерес</t>
  </si>
  <si>
    <t>Материаловедение</t>
  </si>
  <si>
    <t>ОК 1-10</t>
  </si>
  <si>
    <t>ЕН.03</t>
  </si>
  <si>
    <t>Техническая термодинамика и теплопередача</t>
  </si>
  <si>
    <t>Техническое обслуживание и ремонт судового оборудования</t>
  </si>
  <si>
    <t>Техническая эксплуатация судовой автоматики</t>
  </si>
  <si>
    <t>Деловой английский язык</t>
  </si>
  <si>
    <t>Гидравлика</t>
  </si>
  <si>
    <t xml:space="preserve">Организовывать собственную деятельность, выбирать типовые методы и способы выполнения профессиональных задач, оценивать их эффективность  и качество </t>
  </si>
  <si>
    <t xml:space="preserve">Использовать информационно-коммуникационные технологии в профессиональной деятельности </t>
  </si>
  <si>
    <t xml:space="preserve">Работать в коллективе и в команде, эффективно общаться с коллегами, руководством, потребителями </t>
  </si>
  <si>
    <t xml:space="preserve">Владеть письменной и устной коммуникацией на государственном и иностранном (английском) языке </t>
  </si>
  <si>
    <t xml:space="preserve">Обеспечивать техническую эксплуатацию главных энергетических установок судна, вспомогательных механизмов и связанных с ними систем управления </t>
  </si>
  <si>
    <t>Осуществлять контроль выполнения национальных и международных требований по эксплуатации судна</t>
  </si>
  <si>
    <t>Осуществлять выбор оборудования, элементов и систем оборудования для замены в процессе эксплуатации судов</t>
  </si>
  <si>
    <t xml:space="preserve">Осуществлять эксплуатацию судовых технических средств в соответствии с установленными правилами и процедурами,обеспечивающими безопасность операций и отсутствие загрязнения окружающей среды </t>
  </si>
  <si>
    <t>Организовывать мероприятия по обеспечению транспортной безопасности</t>
  </si>
  <si>
    <t>Применять средства по борьбе за живучесть судна</t>
  </si>
  <si>
    <t xml:space="preserve"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 </t>
  </si>
  <si>
    <t xml:space="preserve">Организовывать и обеспечивать действия подчиненных членов экипажа судна при авариях </t>
  </si>
  <si>
    <t>Оказывать первую медицинскую помощь пострадавшим</t>
  </si>
  <si>
    <t xml:space="preserve">Организовывать и обеспечивать действия подчиненных членов экипажа судна по предупреждению и предотвращению загрязнения водной среды </t>
  </si>
  <si>
    <t>Планировать работу структурного подразделения</t>
  </si>
  <si>
    <t>Руководить работой структурного подразделения</t>
  </si>
  <si>
    <t>Анализировать процесс и результаты деятельности структурного подразделения</t>
  </si>
  <si>
    <t>Ииностранного языка</t>
  </si>
  <si>
    <t>Информатики</t>
  </si>
  <si>
    <t>Экологических основ природопользования</t>
  </si>
  <si>
    <t>Механики</t>
  </si>
  <si>
    <t>Материаловедения</t>
  </si>
  <si>
    <t>Метрологии и стандартизации</t>
  </si>
  <si>
    <t>Технической термодинамики и теплопередачи</t>
  </si>
  <si>
    <t>Теории и устройства судна</t>
  </si>
  <si>
    <t>Судовых энергетических установок</t>
  </si>
  <si>
    <t>Судовых вспомогательных механизмов и систем</t>
  </si>
  <si>
    <t>Мастерская</t>
  </si>
  <si>
    <t>Слесарная</t>
  </si>
  <si>
    <t>Тренажер (комплекс (модуль))</t>
  </si>
  <si>
    <t>Судовой энергетической установки</t>
  </si>
  <si>
    <t xml:space="preserve"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 </t>
  </si>
  <si>
    <t>техник-судомеханик</t>
  </si>
  <si>
    <t>____________________ И.К.Кузьмичев</t>
  </si>
  <si>
    <t>Механика</t>
  </si>
  <si>
    <t>Метрология и стандартизация</t>
  </si>
  <si>
    <t>Организация работы структурного подразделения</t>
  </si>
  <si>
    <t>ПМ.02 МДК.02.01</t>
  </si>
  <si>
    <t>ОК 1-10;ПК 1.1;ПК 1.3;ПК1.5;ПК 3.2;ПК3.3</t>
  </si>
  <si>
    <t>ОК 1-10;ПК 1.1-1.5;ПК 2.1-2.3;ПК 3.1-3.3</t>
  </si>
  <si>
    <t>Национальные и международные требования по эксплуатации судна</t>
  </si>
  <si>
    <t>Нижегородское речное училище им.И.П.Кулибина</t>
  </si>
  <si>
    <t>Ректор</t>
  </si>
  <si>
    <t>Дисциплина</t>
  </si>
  <si>
    <t>Наименование ПМ</t>
  </si>
  <si>
    <t>ПМ.01</t>
  </si>
  <si>
    <t>ПМ.02</t>
  </si>
  <si>
    <t>Распределение недель практик по ПМ</t>
  </si>
  <si>
    <t>Наименование практики и сроки</t>
  </si>
  <si>
    <t>26.02.05 Эксплуатация судовых энергетических установок</t>
  </si>
  <si>
    <t>Подготовка ВКР</t>
  </si>
  <si>
    <t>Защита ВКР</t>
  </si>
  <si>
    <t>07.05.2014 г. № 443</t>
  </si>
  <si>
    <t>"Волжский государственный университет водного транспорта"</t>
  </si>
  <si>
    <t>Норматив (ФГОС, нормативные акты РФ или университета</t>
  </si>
  <si>
    <t>Норматив рекомендуемый учебно-методическим управлением университета</t>
  </si>
  <si>
    <t>Общего гуманитарного и социально-экономического цикла</t>
  </si>
  <si>
    <t>Математического  и общего естественнонаучного цикла</t>
  </si>
  <si>
    <t>Профессионального цикла специальности "Судовождение"</t>
  </si>
  <si>
    <t>Профессионального цикла специальности "Эксплуатация судовых энергетических установок"</t>
  </si>
  <si>
    <t xml:space="preserve">Профессионального цикла специальности "Эксплуатация судового электрооборудования и средств автоматики" </t>
  </si>
  <si>
    <t>Профессионального цикла специальности "Эксплуатация внутренних водных путей"</t>
  </si>
  <si>
    <t>Экзамены квалификационные</t>
  </si>
  <si>
    <t xml:space="preserve">В соответствии с  ФГОС от 07.05.2014 г. № 443 консультации предусматриваются образовательной организацией из расчета 4 часа на одного </t>
  </si>
  <si>
    <t>обучающегося на каждый учебный год.</t>
  </si>
  <si>
    <t>География</t>
  </si>
  <si>
    <t>Экология</t>
  </si>
  <si>
    <t>ОК 1-10; ПК 1.1, 1.3-1.5, 2.1-2.3, 3.1-3.3</t>
  </si>
  <si>
    <t>ОК 1-10; ПК 1.1-1.5, 2.1-2.3,  3.1-3.3</t>
  </si>
  <si>
    <t>ОК 1-10; ПК 1.1-1.5, 2.1-2.3, 3.1-3.3</t>
  </si>
  <si>
    <t>ОК 1-10; ПК 1.1-1.5, 3.1-3.3</t>
  </si>
  <si>
    <t>ОК 1-10; ПК 1.1-1.5, 2.1-2.7, 3.1-3.3</t>
  </si>
  <si>
    <t>ОК 1-10; ПК 1.1-1.5</t>
  </si>
  <si>
    <t>ОК 1-10; ПК 2.1-2.7</t>
  </si>
  <si>
    <t>ОК 1-10; ПК 3,1-3,3</t>
  </si>
  <si>
    <t>Брать на себя ответственность за работу членов команды (подчиненных), результат выполнения заданий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</si>
  <si>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</si>
  <si>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Выполнять техническое обслуживание и ремонт судового оборудования</t>
  </si>
  <si>
    <t>ПК-1.1</t>
  </si>
  <si>
    <t>ПК-1.2</t>
  </si>
  <si>
    <t>ПК-1.3</t>
  </si>
  <si>
    <t>ПК-1.4</t>
  </si>
  <si>
    <t>ПК-1.5</t>
  </si>
  <si>
    <t>ПК-2.1</t>
  </si>
  <si>
    <t>ПК-2.2</t>
  </si>
  <si>
    <t>ПК-2.3</t>
  </si>
  <si>
    <t>ПК-2.4</t>
  </si>
  <si>
    <t>ПК-2.5</t>
  </si>
  <si>
    <t>ПК-2.6</t>
  </si>
  <si>
    <t>ПК-2.7</t>
  </si>
  <si>
    <t>ПК-3.1</t>
  </si>
  <si>
    <t>ПК-3.2</t>
  </si>
  <si>
    <t>ПК-3.3</t>
  </si>
  <si>
    <t xml:space="preserve">Безопасности жизнедеятельностии охраны труда  </t>
  </si>
  <si>
    <t>Технологии судоремонта</t>
  </si>
  <si>
    <t>Судового электрооборудования и электронной аппаратуры</t>
  </si>
  <si>
    <t>Электромонтажная</t>
  </si>
  <si>
    <t xml:space="preserve">ПМ.01 
МДК.01.01               </t>
  </si>
  <si>
    <t>ПМ.03
МДК.03.01</t>
  </si>
  <si>
    <t>Организация работы структурного подразделения                                                                Основы управления структурным подразделением</t>
  </si>
  <si>
    <t>Эксплуатация, техническое обслуживание и ремонт судового энергетичсеского оборудования. 
Основы эксплуатации, технического обслуживания и ремонта судового энергетического оборудования</t>
  </si>
  <si>
    <t xml:space="preserve">Обеспечение безопасности плавания.
Безопасность жизнедеятельности на судне и транспортная безопасность </t>
  </si>
  <si>
    <t>Принято Ученым советом университета</t>
  </si>
  <si>
    <t>Федеральное государственное бюджетное образовательное учреждение высшего  образования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</si>
  <si>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</si>
  <si>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</si>
  <si>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Итоговая аттестация</t>
  </si>
  <si>
    <t>Обязательная часть циклов ППССЗ</t>
  </si>
  <si>
    <t>Вариативная часть циклов ППССЗ</t>
  </si>
  <si>
    <t>Всего часов обучения по циклам ППССЗ</t>
  </si>
  <si>
    <t>Нормативный срок освоения ППССЗ, недель</t>
  </si>
  <si>
    <t>Дополнительный срок освоения ППССЗ на базе основного общего образования, недель</t>
  </si>
  <si>
    <t>Теоретическое обучение при дополнительном сроке освоения ППССЗ на базе основного общего образования, недель</t>
  </si>
  <si>
    <t>Промежуточная аттестация при дополнительном сроке освоения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</si>
  <si>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</si>
  <si>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УП.02</t>
  </si>
  <si>
    <t>Шлюпочно-такелажная</t>
  </si>
  <si>
    <t>УП.03</t>
  </si>
  <si>
    <t>Групповая плавательская</t>
  </si>
  <si>
    <t>Экзамен квалификационный</t>
  </si>
  <si>
    <t>ОК 1-10;ПК 1.1-1.5;ПК 2.1-2.7; ПК 3.1-3.3</t>
  </si>
  <si>
    <t>Начальная подготовка по безопасности (правило VI/1 МК ПДНВ)</t>
  </si>
  <si>
    <t>Подготовка по охране (правило VI/6 МК ПДНВ)</t>
  </si>
  <si>
    <t>ОК 1-10; ПК 1.1-1.5; 2.1-2.7</t>
  </si>
  <si>
    <t>ОК 1-10; ПК 3.1-3.3</t>
  </si>
  <si>
    <t>Электрооборудование судов</t>
  </si>
  <si>
    <t>3,4,5,6,7,8</t>
  </si>
  <si>
    <t>ОК 2,3,6,7</t>
  </si>
  <si>
    <t>28</t>
  </si>
  <si>
    <t>УП.04</t>
  </si>
  <si>
    <t>Экологические основы природопользования</t>
  </si>
  <si>
    <t>ОК 1-10; ПК 1.1; 1.3; 1.5; 3.2; 3.3</t>
  </si>
  <si>
    <t xml:space="preserve">ОК 1-10, ПК1.1-1.5, ПК2.1-2.3 </t>
  </si>
  <si>
    <t>ОК 1-10, ПК1.1-1.5, ПК2.1</t>
  </si>
  <si>
    <t>ОК 1-10;ПК 1.3</t>
  </si>
  <si>
    <t>ОК 1-10;ПК 1.5;ПК 2.1,2.2,2.6</t>
  </si>
  <si>
    <t>Перенос часов по блокам</t>
  </si>
  <si>
    <t>Добавлено часов</t>
  </si>
  <si>
    <t>5 часов занятий*</t>
  </si>
  <si>
    <t>ОУД.11 Математика: алгебра и начала анализа; геометрия</t>
  </si>
  <si>
    <t>21 час занятий*</t>
  </si>
  <si>
    <t>ОУД.12 Физика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</si>
  <si>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</si>
  <si>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</si>
  <si>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МДК.01.01.01</t>
  </si>
  <si>
    <t>МДК.01.01.02</t>
  </si>
  <si>
    <t>МДК.01.01.03</t>
  </si>
  <si>
    <t>МДК.01.01.04</t>
  </si>
  <si>
    <t>МДК.01.01.05</t>
  </si>
  <si>
    <t>МДК.01.01.06</t>
  </si>
  <si>
    <t>МДК.01.01.07</t>
  </si>
  <si>
    <t>МДК.02.01.02</t>
  </si>
  <si>
    <t>МДК.03.01.01</t>
  </si>
  <si>
    <t>МДК.03.01.02</t>
  </si>
  <si>
    <t>МДК.04.01</t>
  </si>
  <si>
    <t>МДК.02.01.02.01</t>
  </si>
  <si>
    <t>МДК.02.01.02.02</t>
  </si>
  <si>
    <t>МДК.02.01.02.03</t>
  </si>
  <si>
    <t xml:space="preserve">Эксплуатация, техническое обслуживание и ремонт судового энергетического оборудования    </t>
  </si>
  <si>
    <t>Обеспечение безопасности плавания</t>
  </si>
  <si>
    <t>______________________ И.К. Кузьмичев</t>
  </si>
  <si>
    <t>26.02.05  Эксплуатация судовых энергетических установок</t>
  </si>
  <si>
    <t>техник - судомеханик</t>
  </si>
  <si>
    <t xml:space="preserve">07.05.2014 № 443 </t>
  </si>
  <si>
    <t>самостоятельная работа (осенний семестр)</t>
  </si>
  <si>
    <t>выпускная работа</t>
  </si>
  <si>
    <t>самостоятельная работа (весенний семестр)</t>
  </si>
  <si>
    <t>Распределение по курсам</t>
  </si>
  <si>
    <t>3 курс</t>
  </si>
  <si>
    <t>4 курс</t>
  </si>
  <si>
    <t>дней</t>
  </si>
  <si>
    <t>5 курс</t>
  </si>
  <si>
    <t>Всего максимальной нагрузки ЗАОЧНОЕ ОТДЕЛЕНИЕ</t>
  </si>
  <si>
    <t>Всего максимальной нагрузки ОЧНОЕ ОТДЕЛЕНИЕ</t>
  </si>
  <si>
    <t>НЕ ПЕЧАТАТЬ!!!!!!!!</t>
  </si>
  <si>
    <t>Судовые вспомогательные механизмы и их эксплуатация</t>
  </si>
  <si>
    <t>5,8</t>
  </si>
  <si>
    <t>Охрана труда</t>
  </si>
  <si>
    <t>Преддипломная практика</t>
  </si>
  <si>
    <t>ПП.02</t>
  </si>
  <si>
    <t>часов</t>
  </si>
  <si>
    <t>ОП. 00 Общепрофессиональные дисциплины</t>
  </si>
  <si>
    <t>ПМ. 00 Профессиональные модули</t>
  </si>
  <si>
    <t>Компьютерная графика</t>
  </si>
  <si>
    <t>Эксплуатация и техническое обслуживание судов</t>
  </si>
  <si>
    <t>Кафедра теории конструирования инженерных сооружений</t>
  </si>
  <si>
    <t>ОК 1-10; ПК 1.1-1.5, 2.1-2.7</t>
  </si>
  <si>
    <t>ПМ.01, ПМ.02, ПМ.03, ПМ.04</t>
  </si>
  <si>
    <t>ИТОГО по часам:</t>
  </si>
  <si>
    <t>Ставок:</t>
  </si>
  <si>
    <t>Отношение кол-ва курсантов к кол-ву ставок</t>
  </si>
  <si>
    <t>4 часа занятий</t>
  </si>
  <si>
    <t>Количество часов по курсам</t>
  </si>
  <si>
    <t>Количество ставок преподавателей</t>
  </si>
  <si>
    <t>Количество курсантов</t>
  </si>
  <si>
    <t>осенняя сессия</t>
  </si>
  <si>
    <t>весенняя сессия</t>
  </si>
  <si>
    <t>Судовые энергетические установки и их эксплуатация (включая тренажер вахтенного механика)</t>
  </si>
  <si>
    <t>ОУД.01 Русский язык</t>
  </si>
  <si>
    <t>МДК.03.01</t>
  </si>
  <si>
    <t xml:space="preserve">Организация работы структурного подразделения </t>
  </si>
  <si>
    <t>Протокол № 7</t>
  </si>
  <si>
    <t>0,3</t>
  </si>
  <si>
    <t>1 курс</t>
  </si>
  <si>
    <t>2 курс</t>
  </si>
  <si>
    <t>Основы безопасности жизнедеятельности</t>
  </si>
  <si>
    <t>3,4</t>
  </si>
  <si>
    <t>Г</t>
  </si>
  <si>
    <t>64-1</t>
  </si>
  <si>
    <t>64-2</t>
  </si>
  <si>
    <t>33</t>
  </si>
  <si>
    <t>64-3</t>
  </si>
  <si>
    <t>64-6</t>
  </si>
  <si>
    <t>64-4</t>
  </si>
  <si>
    <t>64-5</t>
  </si>
  <si>
    <t>64-8</t>
  </si>
  <si>
    <t>31</t>
  </si>
  <si>
    <t>64 - 1</t>
  </si>
  <si>
    <t>64 - 2</t>
  </si>
  <si>
    <t>Общепрофессиональных дисциплин</t>
  </si>
  <si>
    <t>64 - 3</t>
  </si>
  <si>
    <t>64 - 4</t>
  </si>
  <si>
    <t>64 - 5</t>
  </si>
  <si>
    <t>64 - 6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</si>
  <si>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</si>
  <si>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</si>
  <si>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</si>
  <si>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</si>
  <si>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</si>
  <si>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физического воспитания и спорта</t>
  </si>
  <si>
    <t>Практика по БЖС и ОСПС</t>
  </si>
  <si>
    <t>Управление конвенционной подготовки и повышения квалификации</t>
  </si>
  <si>
    <t>Междисциплинарный курс</t>
  </si>
  <si>
    <t>Производственная практика - 3 курс - 18 недель</t>
  </si>
  <si>
    <t>Русский язык и литература</t>
  </si>
  <si>
    <t xml:space="preserve">Безопасность жизнедеятельности на судне и транспортная безопасность </t>
  </si>
  <si>
    <t>Эксплуатация судна на вспомогательном уровне</t>
  </si>
  <si>
    <t>4,5</t>
  </si>
  <si>
    <t>Техника безопасности на судах</t>
  </si>
  <si>
    <t>Предотвращение загрязнения морской окружающей среды</t>
  </si>
  <si>
    <t>Моторист (машинист)</t>
  </si>
  <si>
    <t>Планирование и руководство работы структурного подразделения</t>
  </si>
  <si>
    <t>Анализ деятельности структурного подразделения</t>
  </si>
  <si>
    <t>6 часов занятий из ВЧ</t>
  </si>
  <si>
    <t>Общеобразовательные учебные дисциплины</t>
  </si>
  <si>
    <t>ВЧ.02</t>
  </si>
  <si>
    <t>ВЧ.03</t>
  </si>
  <si>
    <t>ВЧ.04</t>
  </si>
  <si>
    <t>ВЧ.05</t>
  </si>
  <si>
    <t>Математика: алгебра и начала математического анализа; геометрия</t>
  </si>
  <si>
    <t>2,4</t>
  </si>
  <si>
    <t>6,8</t>
  </si>
  <si>
    <t>Учебная практика - 2 курс - 7 недель</t>
  </si>
  <si>
    <t>Учебная практика - 3 курс - 4 недели</t>
  </si>
  <si>
    <t>ПМ.02, ПМ.04</t>
  </si>
  <si>
    <t>ПМ.04, ПМ.01</t>
  </si>
  <si>
    <t>Производственная практика - 4 курс - 9 недель</t>
  </si>
  <si>
    <t>Преддипломная практика - 4 курс - 4 недель</t>
  </si>
  <si>
    <t>2,3,4</t>
  </si>
  <si>
    <t>Электромеханическое отделение</t>
  </si>
  <si>
    <t>Общеобразовательных учебных дисциплин</t>
  </si>
  <si>
    <t>Производственная практика (практика по профилю специальности)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</si>
  <si>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</si>
  <si>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</si>
  <si>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дифференцированные зачеты</t>
  </si>
  <si>
    <t>курсовые проекты (работы)</t>
  </si>
  <si>
    <t>другие формы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</si>
  <si>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</si>
  <si>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</si>
  <si>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</si>
  <si>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</si>
  <si>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Количество других форм контроля</t>
  </si>
  <si>
    <t>3,4,6,7</t>
  </si>
  <si>
    <t>Дата утверждения ФГОС СПО</t>
  </si>
  <si>
    <t>Государственная итоговая аттестация</t>
  </si>
  <si>
    <t>5,7</t>
  </si>
  <si>
    <t>5,6,7</t>
  </si>
  <si>
    <t>Количество курсовых проектов (работ)</t>
  </si>
  <si>
    <t>Государственная итоговая аттестация, недель</t>
  </si>
  <si>
    <t>Всего часов на государственную итоговую аттестацию</t>
  </si>
  <si>
    <t>Всего часов обучения по циклам</t>
  </si>
  <si>
    <t xml:space="preserve">ПМ.02 </t>
  </si>
  <si>
    <t>МДК.02.01</t>
  </si>
  <si>
    <t xml:space="preserve">МДК.01.01  </t>
  </si>
  <si>
    <t>Основы эксплуатации, технического обслуживания и ремонта судового энергетического оборудования</t>
  </si>
  <si>
    <t>Эксплуатация, техническое обслуживание и ремонт судового энергетичсеского оборудования</t>
  </si>
  <si>
    <t>Основы управления структурным подразделением</t>
  </si>
  <si>
    <t>ВЧ.00</t>
  </si>
  <si>
    <t xml:space="preserve">ПМ.01              </t>
  </si>
  <si>
    <t>425 часов занятий из ВЧ</t>
  </si>
  <si>
    <t>162 часа занятий из ВЧ</t>
  </si>
  <si>
    <t>ОК 1-10; ПК 1.2</t>
  </si>
  <si>
    <t>ОДп.00</t>
  </si>
  <si>
    <t>ОДп.01</t>
  </si>
  <si>
    <t>ОДп.02</t>
  </si>
  <si>
    <t>ОДп.03</t>
  </si>
  <si>
    <t>ОДп.04</t>
  </si>
  <si>
    <t>ОДп.05</t>
  </si>
  <si>
    <t>ОДп.06</t>
  </si>
  <si>
    <t>ОДп.07</t>
  </si>
  <si>
    <t>Профильные дисциплины</t>
  </si>
  <si>
    <t>Базовые дисциплины</t>
  </si>
  <si>
    <t>ОД.00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</si>
  <si>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</si>
  <si>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</si>
  <si>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</si>
  <si>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</si>
  <si>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</si>
  <si>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</si>
  <si>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</si>
  <si>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Общий гуманитарный и социально-экономический цикл</t>
  </si>
  <si>
    <t>Профессиональный учебный цикл</t>
  </si>
  <si>
    <t>ОК 1 - 10, ПК 1.5</t>
  </si>
  <si>
    <t>ОК 4,10</t>
  </si>
  <si>
    <t>ОК 1-10, ПК1.1-1.5, ПК2.1- 2.7, ПК 3.1-3.3</t>
  </si>
  <si>
    <t>ОК 1 - 9, ПК 1.1-1.5; ПК 2.1, 2.4;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</si>
</sst>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indexed="12"/>
      <name val="Times New Roman"/>
      <family val="1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24"/>
      <color rgb="FFFF0000"/>
      <name val="Times New Roman"/>
      <family val="1"/>
      <charset val="204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017">
    <xf numFmtId="0" fontId="0" fillId="0" borderId="0" xfId="0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9" fillId="26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4" fillId="27" borderId="14" xfId="36" applyFont="1" applyFill="1" applyBorder="1" applyAlignment="1" applyProtection="1">
      <alignment horizontal="center" vertical="top" wrapText="1"/>
    </xf>
    <xf numFmtId="0" fontId="34" fillId="27" borderId="15" xfId="36" applyFont="1" applyFill="1" applyBorder="1" applyAlignment="1" applyProtection="1">
      <alignment horizontal="center" vertical="top" wrapText="1"/>
    </xf>
    <xf numFmtId="0" fontId="34" fillId="27" borderId="16" xfId="36" applyFont="1" applyFill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7" borderId="16" xfId="36" applyNumberFormat="1" applyFont="1" applyFill="1" applyBorder="1" applyAlignment="1" applyProtection="1">
      <alignment horizontal="center" vertical="top" wrapText="1" shrinkToFit="1"/>
    </xf>
    <xf numFmtId="49" fontId="34" fillId="27" borderId="10" xfId="36" applyNumberFormat="1" applyFont="1" applyFill="1" applyBorder="1" applyAlignment="1" applyProtection="1">
      <alignment horizontal="center" vertical="top" wrapText="1" shrinkToFit="1"/>
    </xf>
    <xf numFmtId="0" fontId="34" fillId="0" borderId="0" xfId="36" applyFont="1" applyAlignment="1" applyProtection="1">
      <alignment vertical="top" wrapText="1"/>
    </xf>
    <xf numFmtId="0" fontId="8" fillId="26" borderId="13" xfId="36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28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29" borderId="13" xfId="0" applyFont="1" applyFill="1" applyBorder="1" applyAlignment="1">
      <alignment horizontal="center" vertical="top" wrapText="1"/>
    </xf>
    <xf numFmtId="0" fontId="14" fillId="30" borderId="13" xfId="0" applyFont="1" applyFill="1" applyBorder="1" applyAlignment="1">
      <alignment horizontal="center" vertical="top" wrapText="1"/>
    </xf>
    <xf numFmtId="0" fontId="14" fillId="31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" fontId="12" fillId="26" borderId="10" xfId="0" applyNumberFormat="1" applyFont="1" applyFill="1" applyBorder="1" applyAlignment="1">
      <alignment horizontal="center" vertical="top" wrapText="1"/>
    </xf>
    <xf numFmtId="1" fontId="9" fillId="26" borderId="10" xfId="0" applyNumberFormat="1" applyFont="1" applyFill="1" applyBorder="1" applyAlignment="1">
      <alignment horizontal="center" vertical="top" wrapText="1"/>
    </xf>
    <xf numFmtId="2" fontId="7" fillId="32" borderId="13" xfId="36" applyNumberFormat="1" applyFont="1" applyFill="1" applyBorder="1" applyAlignment="1" applyProtection="1">
      <alignment horizontal="center" vertical="top" wrapText="1"/>
    </xf>
    <xf numFmtId="164" fontId="7" fillId="32" borderId="13" xfId="36" applyNumberFormat="1" applyFont="1" applyFill="1" applyBorder="1" applyAlignment="1" applyProtection="1">
      <alignment horizontal="center" vertical="top" wrapText="1"/>
    </xf>
    <xf numFmtId="2" fontId="7" fillId="26" borderId="13" xfId="36" applyNumberFormat="1" applyFont="1" applyFill="1" applyBorder="1" applyAlignment="1" applyProtection="1">
      <alignment horizontal="center" vertical="top" wrapText="1"/>
    </xf>
    <xf numFmtId="164" fontId="8" fillId="26" borderId="13" xfId="40" applyNumberFormat="1" applyFont="1" applyFill="1" applyBorder="1" applyAlignment="1" applyProtection="1">
      <alignment horizontal="center" vertical="top" wrapText="1"/>
    </xf>
    <xf numFmtId="1" fontId="7" fillId="32" borderId="13" xfId="36" applyNumberFormat="1" applyFont="1" applyFill="1" applyBorder="1" applyAlignment="1" applyProtection="1">
      <alignment horizontal="center" vertical="top" wrapText="1"/>
    </xf>
    <xf numFmtId="0" fontId="2" fillId="32" borderId="0" xfId="0" applyFont="1" applyFill="1" applyAlignment="1">
      <alignment vertical="top" wrapText="1"/>
    </xf>
    <xf numFmtId="164" fontId="7" fillId="0" borderId="13" xfId="36" applyNumberFormat="1" applyFont="1" applyBorder="1" applyAlignment="1" applyProtection="1">
      <alignment horizontal="center" vertical="top" wrapText="1"/>
      <protection locked="0"/>
    </xf>
    <xf numFmtId="0" fontId="3" fillId="32" borderId="0" xfId="0" applyFont="1" applyFill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2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64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0" fontId="8" fillId="27" borderId="22" xfId="36" applyNumberFormat="1" applyFont="1" applyFill="1" applyBorder="1" applyAlignment="1" applyProtection="1">
      <alignment horizontal="justify" vertical="top" wrapText="1"/>
    </xf>
    <xf numFmtId="2" fontId="7" fillId="29" borderId="13" xfId="36" applyNumberFormat="1" applyFont="1" applyFill="1" applyBorder="1" applyAlignment="1" applyProtection="1">
      <alignment horizontal="center" vertical="top" wrapText="1"/>
    </xf>
    <xf numFmtId="2" fontId="37" fillId="29" borderId="13" xfId="36" applyNumberFormat="1" applyFont="1" applyFill="1" applyBorder="1" applyAlignment="1" applyProtection="1">
      <alignment horizontal="center" vertical="top" wrapText="1"/>
    </xf>
    <xf numFmtId="0" fontId="8" fillId="29" borderId="13" xfId="36" applyFont="1" applyFill="1" applyBorder="1" applyAlignment="1" applyProtection="1">
      <alignment horizontal="center" vertical="top" wrapText="1"/>
    </xf>
    <xf numFmtId="2" fontId="8" fillId="26" borderId="13" xfId="36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left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49" fontId="7" fillId="28" borderId="16" xfId="0" applyNumberFormat="1" applyFont="1" applyFill="1" applyBorder="1" applyAlignment="1" applyProtection="1">
      <alignment horizontal="center" vertical="top" wrapText="1"/>
    </xf>
    <xf numFmtId="1" fontId="3" fillId="28" borderId="38" xfId="0" applyNumberFormat="1" applyFont="1" applyFill="1" applyBorder="1" applyAlignment="1" applyProtection="1">
      <alignment horizontal="center" textRotation="90" wrapText="1"/>
    </xf>
    <xf numFmtId="1" fontId="3" fillId="28" borderId="39" xfId="0" applyNumberFormat="1" applyFont="1" applyFill="1" applyBorder="1" applyAlignment="1" applyProtection="1">
      <alignment horizontal="center" textRotation="90" wrapText="1"/>
    </xf>
    <xf numFmtId="49" fontId="3" fillId="34" borderId="14" xfId="0" applyNumberFormat="1" applyFont="1" applyFill="1" applyBorder="1" applyAlignment="1" applyProtection="1">
      <alignment horizontal="left" vertical="center" wrapText="1"/>
    </xf>
    <xf numFmtId="1" fontId="3" fillId="34" borderId="14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</xf>
    <xf numFmtId="1" fontId="3" fillId="34" borderId="16" xfId="0" applyNumberFormat="1" applyFont="1" applyFill="1" applyBorder="1" applyAlignment="1" applyProtection="1">
      <alignment horizontal="left" vertical="center" wrapText="1"/>
    </xf>
    <xf numFmtId="0" fontId="3" fillId="34" borderId="45" xfId="0" applyNumberFormat="1" applyFont="1" applyFill="1" applyBorder="1" applyAlignment="1" applyProtection="1">
      <alignment horizontal="left" vertical="center" wrapText="1"/>
    </xf>
    <xf numFmtId="0" fontId="7" fillId="34" borderId="45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left" vertical="top" wrapText="1"/>
    </xf>
    <xf numFmtId="0" fontId="34" fillId="0" borderId="0" xfId="0" applyFont="1" applyAlignment="1" applyProtection="1">
      <alignment vertical="top" wrapText="1"/>
    </xf>
    <xf numFmtId="164" fontId="7" fillId="26" borderId="13" xfId="36" applyNumberFormat="1" applyFont="1" applyFill="1" applyBorder="1" applyAlignment="1" applyProtection="1">
      <alignment horizontal="center" vertical="top" wrapText="1"/>
    </xf>
    <xf numFmtId="2" fontId="36" fillId="29" borderId="13" xfId="36" applyNumberFormat="1" applyFont="1" applyFill="1" applyBorder="1" applyAlignment="1" applyProtection="1">
      <alignment horizontal="center" vertical="top" wrapText="1"/>
    </xf>
    <xf numFmtId="0" fontId="37" fillId="0" borderId="0" xfId="0" applyFont="1" applyAlignment="1" applyProtection="1">
      <alignment vertical="top" wrapText="1"/>
    </xf>
    <xf numFmtId="164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>
      <alignment vertical="top" wrapText="1"/>
    </xf>
    <xf numFmtId="2" fontId="9" fillId="31" borderId="13" xfId="0" applyNumberFormat="1" applyFont="1" applyFill="1" applyBorder="1" applyAlignment="1" applyProtection="1">
      <alignment horizontal="center" vertical="top" wrapText="1"/>
    </xf>
    <xf numFmtId="1" fontId="9" fillId="0" borderId="0" xfId="0" applyNumberFormat="1" applyFont="1" applyAlignment="1" applyProtection="1">
      <alignment vertical="top" wrapText="1"/>
    </xf>
    <xf numFmtId="0" fontId="40" fillId="31" borderId="13" xfId="0" applyFont="1" applyFill="1" applyBorder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vertical="top" wrapText="1"/>
    </xf>
    <xf numFmtId="0" fontId="9" fillId="35" borderId="13" xfId="0" applyFont="1" applyFill="1" applyBorder="1" applyAlignment="1" applyProtection="1">
      <alignment vertical="top" wrapText="1"/>
    </xf>
    <xf numFmtId="164" fontId="9" fillId="31" borderId="13" xfId="0" applyNumberFormat="1" applyFont="1" applyFill="1" applyBorder="1" applyAlignment="1" applyProtection="1">
      <alignment horizontal="center" vertical="top" wrapText="1"/>
    </xf>
    <xf numFmtId="2" fontId="9" fillId="0" borderId="0" xfId="0" applyNumberFormat="1" applyFont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horizontal="left" vertical="top" wrapText="1"/>
    </xf>
    <xf numFmtId="0" fontId="9" fillId="35" borderId="13" xfId="0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vertical="top" wrapText="1"/>
    </xf>
    <xf numFmtId="0" fontId="7" fillId="0" borderId="13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27" borderId="17" xfId="0" applyFont="1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justify" vertical="top"/>
    </xf>
    <xf numFmtId="0" fontId="41" fillId="0" borderId="0" xfId="0" applyFont="1">
      <alignment vertical="top"/>
    </xf>
    <xf numFmtId="0" fontId="2" fillId="36" borderId="0" xfId="0" applyFont="1" applyFill="1" applyAlignment="1">
      <alignment vertical="top" wrapText="1"/>
    </xf>
    <xf numFmtId="0" fontId="3" fillId="36" borderId="0" xfId="0" applyFont="1" applyFill="1" applyBorder="1" applyAlignment="1">
      <alignment horizontal="justify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center" vertical="top" wrapText="1"/>
    </xf>
    <xf numFmtId="1" fontId="0" fillId="32" borderId="13" xfId="36" applyNumberFormat="1" applyFont="1" applyFill="1" applyBorder="1" applyAlignment="1" applyProtection="1">
      <alignment horizontal="center" vertical="top" wrapText="1"/>
    </xf>
    <xf numFmtId="0" fontId="0" fillId="24" borderId="13" xfId="36" applyFont="1" applyFill="1" applyBorder="1" applyAlignment="1" applyProtection="1">
      <alignment horizontal="center" vertical="top" wrapText="1"/>
    </xf>
    <xf numFmtId="0" fontId="8" fillId="24" borderId="13" xfId="0" applyFont="1" applyFill="1" applyBorder="1" applyAlignment="1" applyProtection="1">
      <alignment horizontal="center" vertical="center" wrapText="1"/>
    </xf>
    <xf numFmtId="0" fontId="7" fillId="27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3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0" fillId="27" borderId="13" xfId="0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2" fillId="36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2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39" fillId="29" borderId="13" xfId="0" applyNumberFormat="1" applyFont="1" applyFill="1" applyBorder="1" applyAlignment="1" applyProtection="1">
      <alignment horizontal="center" vertical="center" wrapText="1"/>
    </xf>
    <xf numFmtId="49" fontId="0" fillId="37" borderId="14" xfId="0" applyNumberFormat="1" applyFont="1" applyFill="1" applyBorder="1" applyAlignment="1" applyProtection="1">
      <alignment horizontal="center" vertical="center" wrapText="1"/>
    </xf>
    <xf numFmtId="1" fontId="39" fillId="37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" fontId="8" fillId="34" borderId="42" xfId="0" applyNumberFormat="1" applyFont="1" applyFill="1" applyBorder="1" applyAlignment="1" applyProtection="1">
      <alignment horizontal="center" vertical="center" wrapText="1"/>
    </xf>
    <xf numFmtId="3" fontId="8" fillId="25" borderId="42" xfId="0" applyNumberFormat="1" applyFont="1" applyFill="1" applyBorder="1" applyAlignment="1" applyProtection="1">
      <alignment horizontal="center" vertical="center" wrapText="1"/>
    </xf>
    <xf numFmtId="1" fontId="8" fillId="34" borderId="13" xfId="0" applyNumberFormat="1" applyFont="1" applyFill="1" applyBorder="1" applyAlignment="1" applyProtection="1">
      <alignment horizontal="center" vertical="center" wrapText="1"/>
    </xf>
    <xf numFmtId="3" fontId="8" fillId="25" borderId="13" xfId="0" applyNumberFormat="1" applyFont="1" applyFill="1" applyBorder="1" applyAlignment="1" applyProtection="1">
      <alignment horizontal="center" vertical="center" wrapText="1"/>
    </xf>
    <xf numFmtId="1" fontId="0" fillId="33" borderId="24" xfId="0" applyNumberFormat="1" applyFont="1" applyFill="1" applyBorder="1" applyAlignment="1" applyProtection="1">
      <alignment horizontal="center" vertical="center" wrapText="1"/>
    </xf>
    <xf numFmtId="1" fontId="0" fillId="37" borderId="20" xfId="0" applyNumberFormat="1" applyFont="1" applyFill="1" applyBorder="1" applyAlignment="1" applyProtection="1">
      <alignment horizontal="center" vertical="center" wrapText="1"/>
    </xf>
    <xf numFmtId="1" fontId="0" fillId="37" borderId="25" xfId="0" applyNumberFormat="1" applyFont="1" applyFill="1" applyBorder="1" applyAlignment="1" applyProtection="1">
      <alignment horizontal="center" vertical="center" wrapText="1"/>
    </xf>
    <xf numFmtId="1" fontId="3" fillId="34" borderId="0" xfId="0" applyNumberFormat="1" applyFont="1" applyFill="1" applyBorder="1" applyAlignment="1" applyProtection="1">
      <alignment horizontal="left" vertical="center" wrapText="1"/>
    </xf>
    <xf numFmtId="1" fontId="0" fillId="37" borderId="55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60" xfId="0" applyNumberFormat="1" applyFont="1" applyFill="1" applyBorder="1" applyAlignment="1" applyProtection="1">
      <alignment horizontal="center" vertical="center" wrapText="1"/>
    </xf>
    <xf numFmtId="1" fontId="0" fillId="37" borderId="56" xfId="0" applyNumberFormat="1" applyFont="1" applyFill="1" applyBorder="1" applyAlignment="1" applyProtection="1">
      <alignment horizontal="center" vertical="center" wrapText="1"/>
    </xf>
    <xf numFmtId="1" fontId="39" fillId="37" borderId="22" xfId="0" applyNumberFormat="1" applyFont="1" applyFill="1" applyBorder="1" applyAlignment="1" applyProtection="1">
      <alignment horizontal="center" vertical="center" wrapText="1"/>
    </xf>
    <xf numFmtId="1" fontId="0" fillId="32" borderId="42" xfId="0" applyNumberFormat="1" applyFont="1" applyFill="1" applyBorder="1" applyAlignment="1" applyProtection="1">
      <alignment horizontal="center" vertical="center" wrapText="1"/>
    </xf>
    <xf numFmtId="1" fontId="2" fillId="33" borderId="24" xfId="0" applyNumberFormat="1" applyFont="1" applyFill="1" applyBorder="1" applyAlignment="1" applyProtection="1">
      <alignment horizontal="center" vertical="center" wrapText="1"/>
    </xf>
    <xf numFmtId="1" fontId="7" fillId="33" borderId="13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1" fontId="7" fillId="33" borderId="17" xfId="0" applyNumberFormat="1" applyFont="1" applyFill="1" applyBorder="1" applyAlignment="1" applyProtection="1">
      <alignment horizontal="center" vertical="center" wrapText="1"/>
    </xf>
    <xf numFmtId="1" fontId="0" fillId="33" borderId="17" xfId="0" applyNumberFormat="1" applyFont="1" applyFill="1" applyBorder="1" applyAlignment="1" applyProtection="1">
      <alignment horizontal="center" vertical="center" wrapText="1"/>
    </xf>
    <xf numFmtId="1" fontId="7" fillId="33" borderId="12" xfId="0" applyNumberFormat="1" applyFont="1" applyFill="1" applyBorder="1" applyAlignment="1" applyProtection="1">
      <alignment horizontal="center" vertical="center" wrapText="1"/>
    </xf>
    <xf numFmtId="1" fontId="2" fillId="33" borderId="12" xfId="0" applyNumberFormat="1" applyFont="1" applyFill="1" applyBorder="1" applyAlignment="1" applyProtection="1">
      <alignment horizontal="center" vertical="center" wrapText="1"/>
    </xf>
    <xf numFmtId="1" fontId="7" fillId="33" borderId="23" xfId="0" applyNumberFormat="1" applyFont="1" applyFill="1" applyBorder="1" applyAlignment="1" applyProtection="1">
      <alignment horizontal="center" vertical="center" wrapText="1"/>
    </xf>
    <xf numFmtId="1" fontId="0" fillId="33" borderId="22" xfId="0" applyNumberFormat="1" applyFont="1" applyFill="1" applyBorder="1" applyAlignment="1" applyProtection="1">
      <alignment horizontal="center" vertical="center" wrapText="1"/>
    </xf>
    <xf numFmtId="1" fontId="0" fillId="39" borderId="42" xfId="0" applyNumberFormat="1" applyFont="1" applyFill="1" applyBorder="1" applyAlignment="1" applyProtection="1">
      <alignment horizontal="center" vertical="center" wrapText="1"/>
    </xf>
    <xf numFmtId="1" fontId="0" fillId="39" borderId="40" xfId="0" applyNumberFormat="1" applyFont="1" applyFill="1" applyBorder="1" applyAlignment="1" applyProtection="1">
      <alignment horizontal="center" vertical="center" wrapText="1"/>
    </xf>
    <xf numFmtId="1" fontId="8" fillId="30" borderId="55" xfId="0" applyNumberFormat="1" applyFont="1" applyFill="1" applyBorder="1" applyAlignment="1" applyProtection="1">
      <alignment horizontal="center" vertical="center" wrapText="1"/>
    </xf>
    <xf numFmtId="1" fontId="8" fillId="30" borderId="60" xfId="0" applyNumberFormat="1" applyFont="1" applyFill="1" applyBorder="1" applyAlignment="1" applyProtection="1">
      <alignment horizontal="center" vertical="center" wrapText="1"/>
    </xf>
    <xf numFmtId="1" fontId="8" fillId="30" borderId="56" xfId="0" applyNumberFormat="1" applyFont="1" applyFill="1" applyBorder="1" applyAlignment="1" applyProtection="1">
      <alignment horizontal="center" vertical="center" wrapText="1"/>
    </xf>
    <xf numFmtId="1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2" xfId="0" applyNumberFormat="1" applyFont="1" applyFill="1" applyBorder="1" applyAlignment="1" applyProtection="1">
      <alignment horizontal="center" vertical="center" wrapText="1"/>
    </xf>
    <xf numFmtId="1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8" fillId="30" borderId="57" xfId="0" applyNumberFormat="1" applyFont="1" applyFill="1" applyBorder="1" applyAlignment="1" applyProtection="1">
      <alignment horizontal="center" vertical="center" wrapText="1"/>
    </xf>
    <xf numFmtId="49" fontId="0" fillId="30" borderId="57" xfId="0" applyNumberFormat="1" applyFont="1" applyFill="1" applyBorder="1" applyAlignment="1" applyProtection="1">
      <alignment horizontal="center" vertical="center" wrapText="1"/>
    </xf>
    <xf numFmtId="1" fontId="2" fillId="33" borderId="17" xfId="0" applyNumberFormat="1" applyFont="1" applyFill="1" applyBorder="1" applyAlignment="1" applyProtection="1">
      <alignment horizontal="center" vertical="center" wrapText="1"/>
    </xf>
    <xf numFmtId="1" fontId="0" fillId="33" borderId="23" xfId="0" applyNumberFormat="1" applyFont="1" applyFill="1" applyBorder="1" applyAlignment="1" applyProtection="1">
      <alignment horizontal="center" vertical="center" wrapText="1"/>
    </xf>
    <xf numFmtId="1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36" applyNumberFormat="1" applyFont="1" applyBorder="1" applyAlignment="1" applyProtection="1">
      <alignment horizontal="center" vertical="top" wrapText="1"/>
      <protection locked="0"/>
    </xf>
    <xf numFmtId="0" fontId="7" fillId="27" borderId="24" xfId="0" applyFont="1" applyFill="1" applyBorder="1" applyAlignment="1" applyProtection="1">
      <alignment vertical="top" wrapText="1"/>
    </xf>
    <xf numFmtId="0" fontId="7" fillId="0" borderId="24" xfId="0" applyFont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horizontal="justify" vertical="top" wrapText="1"/>
      <protection locked="0"/>
    </xf>
    <xf numFmtId="0" fontId="7" fillId="0" borderId="13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33" xfId="0" applyNumberForma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 applyProtection="1">
      <alignment vertical="center" wrapText="1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4" fillId="24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3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 horizontal="center" vertical="top" wrapText="1"/>
    </xf>
    <xf numFmtId="1" fontId="2" fillId="33" borderId="13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</xf>
    <xf numFmtId="49" fontId="3" fillId="34" borderId="14" xfId="0" applyNumberFormat="1" applyFont="1" applyFill="1" applyBorder="1" applyAlignment="1" applyProtection="1">
      <alignment horizontal="left" vertical="top" wrapText="1"/>
    </xf>
    <xf numFmtId="0" fontId="2" fillId="34" borderId="14" xfId="0" applyFont="1" applyFill="1" applyBorder="1" applyAlignment="1" applyProtection="1">
      <alignment horizontal="center" vertical="top" wrapText="1"/>
    </xf>
    <xf numFmtId="49" fontId="3" fillId="34" borderId="16" xfId="0" applyNumberFormat="1" applyFont="1" applyFill="1" applyBorder="1" applyAlignment="1" applyProtection="1">
      <alignment horizontal="left" vertical="top" wrapText="1"/>
    </xf>
    <xf numFmtId="1" fontId="8" fillId="34" borderId="42" xfId="0" applyNumberFormat="1" applyFont="1" applyFill="1" applyBorder="1" applyAlignment="1" applyProtection="1">
      <alignment horizontal="center" vertical="top" wrapText="1"/>
    </xf>
    <xf numFmtId="3" fontId="8" fillId="25" borderId="42" xfId="0" applyNumberFormat="1" applyFont="1" applyFill="1" applyBorder="1" applyAlignment="1" applyProtection="1">
      <alignment horizontal="center" vertical="top" wrapText="1"/>
    </xf>
    <xf numFmtId="3" fontId="7" fillId="25" borderId="13" xfId="0" applyNumberFormat="1" applyFont="1" applyFill="1" applyBorder="1" applyAlignment="1" applyProtection="1">
      <alignment horizontal="center" vertical="top" wrapText="1"/>
    </xf>
    <xf numFmtId="3" fontId="7" fillId="25" borderId="40" xfId="0" applyNumberFormat="1" applyFont="1" applyFill="1" applyBorder="1" applyAlignment="1" applyProtection="1">
      <alignment horizontal="center" vertical="top" wrapText="1"/>
    </xf>
    <xf numFmtId="1" fontId="7" fillId="34" borderId="42" xfId="0" applyNumberFormat="1" applyFont="1" applyFill="1" applyBorder="1" applyAlignment="1" applyProtection="1">
      <alignment horizontal="center" vertical="top" wrapText="1"/>
    </xf>
    <xf numFmtId="3" fontId="7" fillId="25" borderId="42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2" fillId="34" borderId="48" xfId="0" applyNumberFormat="1" applyFont="1" applyFill="1" applyBorder="1" applyAlignment="1" applyProtection="1">
      <alignment horizontal="center" vertical="top" wrapText="1"/>
    </xf>
    <xf numFmtId="1" fontId="8" fillId="34" borderId="13" xfId="0" applyNumberFormat="1" applyFont="1" applyFill="1" applyBorder="1" applyAlignment="1" applyProtection="1">
      <alignment horizontal="center" vertical="top" wrapText="1"/>
    </xf>
    <xf numFmtId="3" fontId="8" fillId="25" borderId="13" xfId="0" applyNumberFormat="1" applyFont="1" applyFill="1" applyBorder="1" applyAlignment="1" applyProtection="1">
      <alignment horizontal="center" vertical="top" wrapText="1"/>
    </xf>
    <xf numFmtId="49" fontId="3" fillId="34" borderId="48" xfId="0" applyNumberFormat="1" applyFont="1" applyFill="1" applyBorder="1" applyAlignment="1" applyProtection="1">
      <alignment horizontal="left" vertical="top" wrapText="1"/>
    </xf>
    <xf numFmtId="9" fontId="2" fillId="34" borderId="48" xfId="40" applyFont="1" applyFill="1" applyBorder="1" applyAlignment="1" applyProtection="1">
      <alignment horizontal="left" vertical="top" wrapText="1"/>
    </xf>
    <xf numFmtId="49" fontId="2" fillId="34" borderId="48" xfId="0" applyNumberFormat="1" applyFont="1" applyFill="1" applyBorder="1" applyAlignment="1" applyProtection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" fontId="0" fillId="37" borderId="67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65" xfId="0" applyNumberFormat="1" applyFont="1" applyFill="1" applyBorder="1" applyAlignment="1" applyProtection="1">
      <alignment horizontal="center" vertical="center" wrapText="1"/>
    </xf>
    <xf numFmtId="1" fontId="0" fillId="37" borderId="72" xfId="0" applyNumberFormat="1" applyFont="1" applyFill="1" applyBorder="1" applyAlignment="1" applyProtection="1">
      <alignment horizontal="center" vertical="center" wrapText="1"/>
    </xf>
    <xf numFmtId="1" fontId="0" fillId="32" borderId="13" xfId="0" applyNumberFormat="1" applyFont="1" applyFill="1" applyBorder="1" applyAlignment="1" applyProtection="1">
      <alignment horizontal="center" vertical="center" wrapText="1"/>
    </xf>
    <xf numFmtId="1" fontId="0" fillId="37" borderId="40" xfId="0" applyNumberFormat="1" applyFont="1" applyFill="1" applyBorder="1" applyAlignment="1" applyProtection="1">
      <alignment horizontal="center" vertical="center" wrapText="1"/>
    </xf>
    <xf numFmtId="1" fontId="0" fillId="37" borderId="14" xfId="0" applyNumberFormat="1" applyFont="1" applyFill="1" applyBorder="1" applyAlignment="1" applyProtection="1">
      <alignment horizontal="center" vertical="center" wrapText="1"/>
    </xf>
    <xf numFmtId="1" fontId="0" fillId="37" borderId="56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72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7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Border="1">
      <alignment vertical="top"/>
    </xf>
    <xf numFmtId="49" fontId="8" fillId="37" borderId="16" xfId="0" applyNumberFormat="1" applyFont="1" applyFill="1" applyBorder="1" applyAlignment="1" applyProtection="1">
      <alignment horizontal="center" vertical="center" wrapText="1"/>
    </xf>
    <xf numFmtId="1" fontId="8" fillId="37" borderId="38" xfId="0" applyNumberFormat="1" applyFont="1" applyFill="1" applyBorder="1" applyAlignment="1" applyProtection="1">
      <alignment horizontal="center" vertical="center" wrapText="1"/>
    </xf>
    <xf numFmtId="1" fontId="8" fillId="37" borderId="23" xfId="0" applyNumberFormat="1" applyFont="1" applyFill="1" applyBorder="1" applyAlignment="1" applyProtection="1">
      <alignment horizontal="center" vertical="center" wrapText="1"/>
    </xf>
    <xf numFmtId="1" fontId="8" fillId="37" borderId="12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ill="1" applyBorder="1">
      <alignment vertical="top"/>
    </xf>
    <xf numFmtId="1" fontId="8" fillId="37" borderId="20" xfId="0" applyNumberFormat="1" applyFont="1" applyFill="1" applyBorder="1" applyAlignment="1" applyProtection="1">
      <alignment horizontal="center" vertical="center" wrapText="1"/>
    </xf>
    <xf numFmtId="1" fontId="8" fillId="37" borderId="40" xfId="0" applyNumberFormat="1" applyFont="1" applyFill="1" applyBorder="1" applyAlignment="1" applyProtection="1">
      <alignment horizontal="center" vertical="center" wrapText="1"/>
    </xf>
    <xf numFmtId="1" fontId="8" fillId="37" borderId="17" xfId="0" applyNumberFormat="1" applyFont="1" applyFill="1" applyBorder="1" applyAlignment="1" applyProtection="1">
      <alignment horizontal="center" vertical="center" wrapText="1"/>
    </xf>
    <xf numFmtId="1" fontId="8" fillId="37" borderId="25" xfId="0" applyNumberFormat="1" applyFont="1" applyFill="1" applyBorder="1" applyAlignment="1" applyProtection="1">
      <alignment horizontal="center" vertical="center" wrapText="1"/>
    </xf>
    <xf numFmtId="1" fontId="8" fillId="37" borderId="14" xfId="0" applyNumberFormat="1" applyFont="1" applyFill="1" applyBorder="1" applyAlignment="1" applyProtection="1">
      <alignment horizontal="center" vertical="center" wrapText="1"/>
    </xf>
    <xf numFmtId="1" fontId="8" fillId="37" borderId="24" xfId="0" applyNumberFormat="1" applyFont="1" applyFill="1" applyBorder="1" applyAlignment="1" applyProtection="1">
      <alignment horizontal="center" vertical="center" wrapText="1"/>
    </xf>
    <xf numFmtId="1" fontId="8" fillId="37" borderId="22" xfId="0" applyNumberFormat="1" applyFont="1" applyFill="1" applyBorder="1" applyAlignment="1" applyProtection="1">
      <alignment horizontal="center" vertical="center" wrapText="1"/>
    </xf>
    <xf numFmtId="49" fontId="0" fillId="37" borderId="40" xfId="0" applyNumberFormat="1" applyFont="1" applyFill="1" applyBorder="1" applyAlignment="1" applyProtection="1">
      <alignment horizontal="center" vertical="center" wrapText="1"/>
    </xf>
    <xf numFmtId="1" fontId="39" fillId="37" borderId="13" xfId="0" applyNumberFormat="1" applyFont="1" applyFill="1" applyBorder="1" applyAlignment="1" applyProtection="1">
      <alignment horizontal="center" vertical="center" wrapText="1"/>
    </xf>
    <xf numFmtId="1" fontId="39" fillId="37" borderId="17" xfId="0" applyNumberFormat="1" applyFont="1" applyFill="1" applyBorder="1" applyAlignment="1" applyProtection="1">
      <alignment horizontal="center" vertical="center" wrapText="1"/>
    </xf>
    <xf numFmtId="0" fontId="0" fillId="37" borderId="57" xfId="0" applyFill="1" applyBorder="1" applyAlignment="1">
      <alignment vertical="center"/>
    </xf>
    <xf numFmtId="49" fontId="8" fillId="37" borderId="57" xfId="0" applyNumberFormat="1" applyFont="1" applyFill="1" applyBorder="1" applyAlignment="1" applyProtection="1">
      <alignment horizontal="center" vertical="center" wrapText="1"/>
    </xf>
    <xf numFmtId="1" fontId="8" fillId="37" borderId="55" xfId="0" applyNumberFormat="1" applyFont="1" applyFill="1" applyBorder="1" applyAlignment="1" applyProtection="1">
      <alignment horizontal="center" vertical="center" wrapText="1"/>
    </xf>
    <xf numFmtId="1" fontId="8" fillId="37" borderId="57" xfId="0" applyNumberFormat="1" applyFont="1" applyFill="1" applyBorder="1" applyAlignment="1" applyProtection="1">
      <alignment horizontal="center" vertical="center" wrapText="1"/>
    </xf>
    <xf numFmtId="1" fontId="8" fillId="37" borderId="59" xfId="0" applyNumberFormat="1" applyFont="1" applyFill="1" applyBorder="1" applyAlignment="1" applyProtection="1">
      <alignment horizontal="center" vertical="center" wrapText="1"/>
    </xf>
    <xf numFmtId="49" fontId="8" fillId="37" borderId="65" xfId="0" applyNumberFormat="1" applyFont="1" applyFill="1" applyBorder="1" applyAlignment="1" applyProtection="1">
      <alignment horizontal="center" vertical="center" wrapText="1"/>
    </xf>
    <xf numFmtId="49" fontId="8" fillId="37" borderId="70" xfId="0" applyNumberFormat="1" applyFont="1" applyFill="1" applyBorder="1" applyAlignment="1" applyProtection="1">
      <alignment horizontal="center" vertical="center" wrapText="1"/>
    </xf>
    <xf numFmtId="1" fontId="8" fillId="37" borderId="71" xfId="0" applyNumberFormat="1" applyFont="1" applyFill="1" applyBorder="1" applyAlignment="1" applyProtection="1">
      <alignment horizontal="center" vertical="center" wrapText="1"/>
    </xf>
    <xf numFmtId="1" fontId="8" fillId="37" borderId="79" xfId="0" applyNumberFormat="1" applyFont="1" applyFill="1" applyBorder="1" applyAlignment="1" applyProtection="1">
      <alignment horizontal="center" vertical="center" wrapText="1"/>
    </xf>
    <xf numFmtId="1" fontId="8" fillId="37" borderId="65" xfId="0" applyNumberFormat="1" applyFont="1" applyFill="1" applyBorder="1" applyAlignment="1" applyProtection="1">
      <alignment horizontal="center" vertical="center" wrapText="1"/>
    </xf>
    <xf numFmtId="1" fontId="8" fillId="37" borderId="72" xfId="0" applyNumberFormat="1" applyFont="1" applyFill="1" applyBorder="1" applyAlignment="1" applyProtection="1">
      <alignment horizontal="center" vertical="center" wrapText="1"/>
    </xf>
    <xf numFmtId="1" fontId="8" fillId="37" borderId="60" xfId="0" applyNumberFormat="1" applyFont="1" applyFill="1" applyBorder="1" applyAlignment="1" applyProtection="1">
      <alignment horizontal="center" vertical="center" wrapText="1"/>
    </xf>
    <xf numFmtId="1" fontId="8" fillId="37" borderId="56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 applyProtection="1">
      <alignment horizontal="center" textRotation="90" wrapText="1"/>
    </xf>
    <xf numFmtId="49" fontId="2" fillId="0" borderId="23" xfId="0" applyNumberFormat="1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>
      <alignment horizontal="justify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1" fontId="2" fillId="0" borderId="16" xfId="0" applyNumberFormat="1" applyFont="1" applyFill="1" applyBorder="1" applyAlignment="1" applyProtection="1">
      <alignment horizontal="center" vertical="top" wrapText="1"/>
    </xf>
    <xf numFmtId="1" fontId="3" fillId="28" borderId="79" xfId="0" applyNumberFormat="1" applyFont="1" applyFill="1" applyBorder="1" applyAlignment="1" applyProtection="1">
      <alignment horizontal="center" vertical="top" wrapText="1"/>
    </xf>
    <xf numFmtId="1" fontId="3" fillId="28" borderId="79" xfId="0" applyNumberFormat="1" applyFont="1" applyFill="1" applyBorder="1" applyAlignment="1" applyProtection="1">
      <alignment vertical="top" wrapText="1"/>
    </xf>
    <xf numFmtId="49" fontId="3" fillId="28" borderId="79" xfId="0" applyNumberFormat="1" applyFont="1" applyFill="1" applyBorder="1" applyAlignment="1" applyProtection="1">
      <alignment horizontal="center" vertical="top" wrapText="1"/>
    </xf>
    <xf numFmtId="0" fontId="7" fillId="28" borderId="22" xfId="0" applyFont="1" applyFill="1" applyBorder="1" applyAlignment="1" applyProtection="1">
      <alignment horizontal="center" textRotation="90" wrapText="1"/>
    </xf>
    <xf numFmtId="49" fontId="0" fillId="30" borderId="13" xfId="0" applyNumberFormat="1" applyFont="1" applyFill="1" applyBorder="1" applyAlignment="1" applyProtection="1">
      <alignment horizontal="center" vertical="center" wrapText="1"/>
    </xf>
    <xf numFmtId="1" fontId="8" fillId="30" borderId="13" xfId="0" applyNumberFormat="1" applyFont="1" applyFill="1" applyBorder="1" applyAlignment="1" applyProtection="1">
      <alignment horizontal="center" vertical="center" wrapText="1"/>
    </xf>
    <xf numFmtId="49" fontId="0" fillId="29" borderId="13" xfId="0" applyNumberFormat="1" applyFont="1" applyFill="1" applyBorder="1" applyAlignment="1" applyProtection="1">
      <alignment horizontal="center" vertical="center" wrapText="1"/>
    </xf>
    <xf numFmtId="1" fontId="0" fillId="37" borderId="13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</xf>
    <xf numFmtId="49" fontId="39" fillId="38" borderId="13" xfId="0" applyNumberFormat="1" applyFont="1" applyFill="1" applyBorder="1" applyAlignment="1" applyProtection="1">
      <alignment vertical="center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49" fontId="8" fillId="30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1" fontId="8" fillId="30" borderId="42" xfId="0" applyNumberFormat="1" applyFont="1" applyFill="1" applyBorder="1" applyAlignment="1" applyProtection="1">
      <alignment horizontal="center" vertical="center" wrapText="1"/>
    </xf>
    <xf numFmtId="49" fontId="8" fillId="30" borderId="21" xfId="0" applyNumberFormat="1" applyFont="1" applyFill="1" applyBorder="1" applyAlignment="1" applyProtection="1">
      <alignment horizontal="center" vertical="center" wrapText="1"/>
    </xf>
    <xf numFmtId="1" fontId="39" fillId="37" borderId="42" xfId="0" applyNumberFormat="1" applyFont="1" applyFill="1" applyBorder="1" applyAlignment="1" applyProtection="1">
      <alignment horizontal="center" vertical="center" wrapText="1"/>
    </xf>
    <xf numFmtId="1" fontId="8" fillId="30" borderId="20" xfId="0" applyNumberFormat="1" applyFont="1" applyFill="1" applyBorder="1" applyAlignment="1" applyProtection="1">
      <alignment horizontal="center" vertical="center" wrapText="1"/>
    </xf>
    <xf numFmtId="1" fontId="8" fillId="30" borderId="21" xfId="0" applyNumberFormat="1" applyFont="1" applyFill="1" applyBorder="1" applyAlignment="1" applyProtection="1">
      <alignment horizontal="center" vertical="center" wrapText="1"/>
    </xf>
    <xf numFmtId="1" fontId="0" fillId="33" borderId="20" xfId="0" applyNumberFormat="1" applyFont="1" applyFill="1" applyBorder="1" applyAlignment="1" applyProtection="1">
      <alignment horizontal="center" vertical="center" wrapText="1"/>
    </xf>
    <xf numFmtId="1" fontId="0" fillId="33" borderId="21" xfId="0" applyNumberFormat="1" applyFont="1" applyFill="1" applyBorder="1" applyAlignment="1" applyProtection="1">
      <alignment horizontal="center" vertical="center" wrapText="1"/>
    </xf>
    <xf numFmtId="1" fontId="8" fillId="30" borderId="17" xfId="0" applyNumberFormat="1" applyFont="1" applyFill="1" applyBorder="1" applyAlignment="1" applyProtection="1">
      <alignment horizontal="center" vertical="center" wrapText="1"/>
    </xf>
    <xf numFmtId="49" fontId="8" fillId="30" borderId="2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9" fillId="37" borderId="22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/>
      <protection locked="0"/>
    </xf>
    <xf numFmtId="49" fontId="39" fillId="41" borderId="13" xfId="0" applyNumberFormat="1" applyFont="1" applyFill="1" applyBorder="1" applyAlignment="1" applyProtection="1">
      <alignment vertical="center"/>
      <protection locked="0"/>
    </xf>
    <xf numFmtId="1" fontId="8" fillId="34" borderId="17" xfId="0" applyNumberFormat="1" applyFont="1" applyFill="1" applyBorder="1" applyAlignment="1" applyProtection="1">
      <alignment horizontal="center" vertical="top" wrapText="1"/>
    </xf>
    <xf numFmtId="1" fontId="7" fillId="34" borderId="17" xfId="0" applyNumberFormat="1" applyFont="1" applyFill="1" applyBorder="1" applyAlignment="1" applyProtection="1">
      <alignment horizontal="center" vertical="top" wrapText="1"/>
    </xf>
    <xf numFmtId="49" fontId="3" fillId="34" borderId="0" xfId="0" applyNumberFormat="1" applyFont="1" applyFill="1" applyBorder="1" applyAlignment="1" applyProtection="1">
      <alignment horizontal="left" vertical="center" wrapText="1"/>
    </xf>
    <xf numFmtId="0" fontId="2" fillId="34" borderId="0" xfId="0" applyFont="1" applyFill="1" applyBorder="1" applyAlignment="1" applyProtection="1">
      <alignment horizontal="center" vertical="top" wrapText="1"/>
    </xf>
    <xf numFmtId="0" fontId="2" fillId="0" borderId="85" xfId="0" applyFont="1" applyFill="1" applyBorder="1" applyAlignment="1" applyProtection="1">
      <alignment horizontal="left" vertical="top" wrapText="1"/>
    </xf>
    <xf numFmtId="3" fontId="7" fillId="25" borderId="74" xfId="0" applyNumberFormat="1" applyFont="1" applyFill="1" applyBorder="1" applyAlignment="1" applyProtection="1">
      <alignment horizontal="center" vertical="top" wrapText="1"/>
    </xf>
    <xf numFmtId="3" fontId="7" fillId="25" borderId="75" xfId="0" applyNumberFormat="1" applyFont="1" applyFill="1" applyBorder="1" applyAlignment="1" applyProtection="1">
      <alignment horizontal="center" vertical="top" wrapText="1"/>
    </xf>
    <xf numFmtId="3" fontId="7" fillId="25" borderId="41" xfId="0" applyNumberFormat="1" applyFont="1" applyFill="1" applyBorder="1" applyAlignment="1" applyProtection="1">
      <alignment horizontal="center" vertical="top" wrapText="1"/>
    </xf>
    <xf numFmtId="3" fontId="7" fillId="25" borderId="21" xfId="0" applyNumberFormat="1" applyFont="1" applyFill="1" applyBorder="1" applyAlignment="1" applyProtection="1">
      <alignment horizontal="center" vertical="top" wrapText="1"/>
    </xf>
    <xf numFmtId="0" fontId="3" fillId="28" borderId="16" xfId="0" applyFont="1" applyFill="1" applyBorder="1" applyAlignment="1" applyProtection="1">
      <alignment vertical="top" wrapText="1"/>
    </xf>
    <xf numFmtId="0" fontId="8" fillId="30" borderId="62" xfId="0" applyFont="1" applyFill="1" applyBorder="1" applyAlignment="1" applyProtection="1">
      <alignment horizontal="left" vertical="center" wrapText="1"/>
    </xf>
    <xf numFmtId="0" fontId="8" fillId="29" borderId="23" xfId="0" applyFont="1" applyFill="1" applyBorder="1" applyAlignment="1" applyProtection="1">
      <alignment horizontal="left" vertical="center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29" borderId="17" xfId="0" applyFont="1" applyFill="1" applyBorder="1" applyAlignment="1" applyProtection="1">
      <alignment horizontal="left" vertical="center" wrapText="1"/>
    </xf>
    <xf numFmtId="0" fontId="8" fillId="29" borderId="22" xfId="0" applyFont="1" applyFill="1" applyBorder="1" applyAlignment="1" applyProtection="1">
      <alignment horizontal="left" vertical="center" wrapText="1"/>
    </xf>
    <xf numFmtId="0" fontId="39" fillId="29" borderId="17" xfId="0" applyFont="1" applyFill="1" applyBorder="1" applyAlignment="1" applyProtection="1">
      <alignment horizontal="left" vertical="center" wrapText="1"/>
    </xf>
    <xf numFmtId="49" fontId="0" fillId="0" borderId="17" xfId="0" applyNumberFormat="1" applyFill="1" applyBorder="1" applyAlignment="1" applyProtection="1">
      <alignment horizontal="left" vertical="center" wrapText="1"/>
      <protection locked="0"/>
    </xf>
    <xf numFmtId="49" fontId="0" fillId="37" borderId="62" xfId="0" applyNumberFormat="1" applyFill="1" applyBorder="1" applyAlignment="1" applyProtection="1">
      <alignment horizontal="left" vertical="center" wrapText="1"/>
      <protection locked="0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49" fontId="0" fillId="37" borderId="6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3" xfId="0" applyNumberFormat="1" applyFill="1" applyBorder="1" applyAlignment="1" applyProtection="1">
      <alignment horizontal="left" vertical="center" wrapText="1"/>
      <protection locked="0"/>
    </xf>
    <xf numFmtId="49" fontId="0" fillId="37" borderId="83" xfId="0" applyNumberFormat="1" applyFont="1" applyFill="1" applyBorder="1" applyAlignment="1" applyProtection="1">
      <alignment horizontal="left" vertical="center" wrapText="1"/>
      <protection locked="0"/>
    </xf>
    <xf numFmtId="49" fontId="0" fillId="36" borderId="17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8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8" fillId="30" borderId="83" xfId="0" applyFont="1" applyFill="1" applyBorder="1" applyAlignment="1" applyProtection="1">
      <alignment horizontal="left" vertical="center" wrapText="1"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1" fontId="8" fillId="30" borderId="59" xfId="0" applyNumberFormat="1" applyFont="1" applyFill="1" applyBorder="1" applyAlignment="1" applyProtection="1">
      <alignment horizontal="center" vertical="center" wrapText="1"/>
    </xf>
    <xf numFmtId="1" fontId="8" fillId="37" borderId="10" xfId="0" applyNumberFormat="1" applyFont="1" applyFill="1" applyBorder="1" applyAlignment="1" applyProtection="1">
      <alignment horizontal="center" vertical="center" wrapText="1"/>
    </xf>
    <xf numFmtId="1" fontId="0" fillId="33" borderId="42" xfId="0" applyNumberFormat="1" applyFont="1" applyFill="1" applyBorder="1" applyAlignment="1" applyProtection="1">
      <alignment horizontal="center" vertical="center" wrapText="1"/>
    </xf>
    <xf numFmtId="1" fontId="8" fillId="37" borderId="42" xfId="0" applyNumberFormat="1" applyFont="1" applyFill="1" applyBorder="1" applyAlignment="1" applyProtection="1">
      <alignment horizontal="center" vertical="center" wrapText="1"/>
    </xf>
    <xf numFmtId="1" fontId="8" fillId="37" borderId="15" xfId="0" applyNumberFormat="1" applyFont="1" applyFill="1" applyBorder="1" applyAlignment="1" applyProtection="1">
      <alignment horizontal="center" vertical="center" wrapText="1"/>
    </xf>
    <xf numFmtId="1" fontId="39" fillId="37" borderId="15" xfId="0" applyNumberFormat="1" applyFont="1" applyFill="1" applyBorder="1" applyAlignment="1" applyProtection="1">
      <alignment horizontal="center" vertical="center" wrapText="1"/>
    </xf>
    <xf numFmtId="1" fontId="0" fillId="37" borderId="59" xfId="0" applyNumberFormat="1" applyFont="1" applyFill="1" applyBorder="1" applyAlignment="1" applyProtection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 wrapText="1"/>
    </xf>
    <xf numFmtId="1" fontId="2" fillId="33" borderId="42" xfId="0" applyNumberFormat="1" applyFont="1" applyFill="1" applyBorder="1" applyAlignment="1" applyProtection="1">
      <alignment horizontal="center" vertical="center" wrapText="1"/>
    </xf>
    <xf numFmtId="1" fontId="0" fillId="37" borderId="71" xfId="0" applyNumberFormat="1" applyFont="1" applyFill="1" applyBorder="1" applyAlignment="1" applyProtection="1">
      <alignment horizontal="center" vertical="center" wrapText="1"/>
    </xf>
    <xf numFmtId="1" fontId="0" fillId="33" borderId="10" xfId="0" applyNumberFormat="1" applyFont="1" applyFill="1" applyBorder="1" applyAlignment="1" applyProtection="1">
      <alignment horizontal="center" vertical="center" wrapText="1"/>
    </xf>
    <xf numFmtId="1" fontId="0" fillId="33" borderId="15" xfId="0" applyNumberFormat="1" applyFont="1" applyFill="1" applyBorder="1" applyAlignment="1" applyProtection="1">
      <alignment horizontal="center" vertical="center" wrapText="1"/>
    </xf>
    <xf numFmtId="0" fontId="3" fillId="28" borderId="86" xfId="0" applyFont="1" applyFill="1" applyBorder="1" applyAlignment="1" applyProtection="1">
      <alignment vertical="top" wrapText="1"/>
    </xf>
    <xf numFmtId="1" fontId="8" fillId="40" borderId="21" xfId="0" applyNumberFormat="1" applyFont="1" applyFill="1" applyBorder="1" applyAlignment="1" applyProtection="1">
      <alignment horizontal="center" vertical="center" wrapText="1"/>
    </xf>
    <xf numFmtId="1" fontId="8" fillId="37" borderId="21" xfId="0" applyNumberFormat="1" applyFont="1" applyFill="1" applyBorder="1" applyAlignment="1" applyProtection="1">
      <alignment horizontal="center" vertical="center" wrapText="1"/>
    </xf>
    <xf numFmtId="0" fontId="0" fillId="36" borderId="20" xfId="0" applyFont="1" applyFill="1" applyBorder="1" applyAlignment="1" applyProtection="1">
      <alignment horizontal="left" vertical="center" wrapText="1"/>
      <protection locked="0"/>
    </xf>
    <xf numFmtId="0" fontId="8" fillId="37" borderId="62" xfId="0" applyFont="1" applyFill="1" applyBorder="1" applyAlignment="1" applyProtection="1">
      <alignment vertical="center"/>
    </xf>
    <xf numFmtId="0" fontId="0" fillId="36" borderId="51" xfId="0" applyFont="1" applyFill="1" applyBorder="1" applyAlignment="1" applyProtection="1">
      <alignment horizontal="left" vertical="center" wrapText="1"/>
      <protection locked="0"/>
    </xf>
    <xf numFmtId="0" fontId="0" fillId="36" borderId="66" xfId="0" applyFont="1" applyFill="1" applyBorder="1" applyAlignment="1" applyProtection="1">
      <alignment horizontal="left" vertical="center" wrapText="1"/>
      <protection locked="0"/>
    </xf>
    <xf numFmtId="1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8" fillId="40" borderId="68" xfId="0" applyNumberFormat="1" applyFont="1" applyFill="1" applyBorder="1" applyAlignment="1" applyProtection="1">
      <alignment horizontal="center" vertical="center" wrapText="1"/>
    </xf>
    <xf numFmtId="0" fontId="3" fillId="28" borderId="73" xfId="0" applyFont="1" applyFill="1" applyBorder="1" applyAlignment="1" applyProtection="1">
      <alignment vertical="top" wrapText="1"/>
    </xf>
    <xf numFmtId="1" fontId="0" fillId="40" borderId="20" xfId="0" applyNumberFormat="1" applyFill="1" applyBorder="1">
      <alignment vertical="top"/>
    </xf>
    <xf numFmtId="0" fontId="0" fillId="0" borderId="21" xfId="0" applyBorder="1">
      <alignment vertical="top"/>
    </xf>
    <xf numFmtId="1" fontId="0" fillId="37" borderId="20" xfId="0" applyNumberFormat="1" applyFill="1" applyBorder="1">
      <alignment vertical="top"/>
    </xf>
    <xf numFmtId="0" fontId="0" fillId="37" borderId="21" xfId="0" applyFill="1" applyBorder="1">
      <alignment vertical="top"/>
    </xf>
    <xf numFmtId="0" fontId="0" fillId="37" borderId="21" xfId="0" applyFill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37" borderId="21" xfId="0" applyFill="1" applyBorder="1" applyAlignment="1">
      <alignment vertical="top" wrapText="1"/>
    </xf>
    <xf numFmtId="1" fontId="0" fillId="40" borderId="51" xfId="0" applyNumberFormat="1" applyFill="1" applyBorder="1">
      <alignment vertical="top"/>
    </xf>
    <xf numFmtId="49" fontId="0" fillId="0" borderId="66" xfId="0" applyNumberFormat="1" applyBorder="1">
      <alignment vertical="top"/>
    </xf>
    <xf numFmtId="0" fontId="0" fillId="0" borderId="68" xfId="0" applyBorder="1">
      <alignment vertical="top"/>
    </xf>
    <xf numFmtId="0" fontId="5" fillId="42" borderId="0" xfId="0" applyFont="1" applyFill="1" applyBorder="1" applyAlignment="1" applyProtection="1">
      <alignment horizontal="left" vertical="top" wrapText="1"/>
    </xf>
    <xf numFmtId="0" fontId="8" fillId="4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0" fontId="38" fillId="36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14" fillId="36" borderId="13" xfId="0" applyFont="1" applyFill="1" applyBorder="1" applyAlignment="1">
      <alignment horizontal="center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49" fontId="3" fillId="37" borderId="0" xfId="0" applyNumberFormat="1" applyFont="1" applyFill="1" applyBorder="1" applyAlignment="1" applyProtection="1">
      <alignment horizontal="center" vertical="top" wrapText="1"/>
    </xf>
    <xf numFmtId="49" fontId="3" fillId="37" borderId="0" xfId="0" applyNumberFormat="1" applyFont="1" applyFill="1" applyBorder="1" applyAlignment="1" applyProtection="1">
      <alignment horizontal="center" textRotation="90" wrapText="1"/>
    </xf>
    <xf numFmtId="0" fontId="44" fillId="0" borderId="13" xfId="0" applyFont="1" applyFill="1" applyBorder="1" applyAlignment="1" applyProtection="1">
      <alignment horizontal="justify" vertical="center" wrapText="1"/>
      <protection locked="0"/>
    </xf>
    <xf numFmtId="49" fontId="4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>
      <alignment horizontal="justify" vertical="top" wrapText="1"/>
    </xf>
    <xf numFmtId="0" fontId="4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3" xfId="0" applyFill="1" applyBorder="1" applyAlignment="1" applyProtection="1">
      <alignment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/>
    </xf>
    <xf numFmtId="1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1" fontId="8" fillId="28" borderId="26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30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1" fontId="0" fillId="28" borderId="14" xfId="0" applyNumberFormat="1" applyFont="1" applyFill="1" applyBorder="1" applyAlignment="1" applyProtection="1">
      <alignment horizontal="left" vertical="top" wrapText="1"/>
    </xf>
    <xf numFmtId="164" fontId="0" fillId="28" borderId="14" xfId="0" applyNumberFormat="1" applyFont="1" applyFill="1" applyBorder="1" applyAlignment="1" applyProtection="1">
      <alignment horizontal="center" vertical="top" wrapText="1"/>
    </xf>
    <xf numFmtId="49" fontId="0" fillId="28" borderId="26" xfId="0" applyNumberFormat="1" applyFont="1" applyFill="1" applyBorder="1" applyAlignment="1" applyProtection="1">
      <alignment vertical="top" wrapText="1"/>
    </xf>
    <xf numFmtId="1" fontId="0" fillId="28" borderId="33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0" fillId="28" borderId="14" xfId="0" applyNumberFormat="1" applyFont="1" applyFill="1" applyBorder="1" applyAlignment="1" applyProtection="1">
      <alignment vertical="top" wrapText="1"/>
    </xf>
    <xf numFmtId="164" fontId="0" fillId="28" borderId="16" xfId="0" applyNumberFormat="1" applyFont="1" applyFill="1" applyBorder="1" applyAlignment="1" applyProtection="1">
      <alignment horizontal="center" vertical="top" wrapText="1"/>
    </xf>
    <xf numFmtId="49" fontId="0" fillId="28" borderId="30" xfId="0" applyNumberFormat="1" applyFont="1" applyFill="1" applyBorder="1" applyAlignment="1" applyProtection="1">
      <alignment horizontal="center" vertical="top" wrapText="1"/>
    </xf>
    <xf numFmtId="1" fontId="0" fillId="28" borderId="36" xfId="0" applyNumberFormat="1" applyFont="1" applyFill="1" applyBorder="1" applyAlignment="1" applyProtection="1">
      <alignment horizontal="center" vertical="top" wrapText="1"/>
    </xf>
    <xf numFmtId="49" fontId="0" fillId="28" borderId="16" xfId="0" applyNumberFormat="1" applyFont="1" applyFill="1" applyBorder="1" applyAlignment="1" applyProtection="1">
      <alignment horizontal="center" vertical="top" wrapText="1"/>
    </xf>
    <xf numFmtId="0" fontId="0" fillId="28" borderId="24" xfId="0" applyFont="1" applyFill="1" applyBorder="1" applyAlignment="1" applyProtection="1">
      <alignment horizontal="center" textRotation="90" wrapText="1"/>
    </xf>
    <xf numFmtId="0" fontId="0" fillId="28" borderId="61" xfId="0" applyFont="1" applyFill="1" applyBorder="1" applyAlignment="1" applyProtection="1">
      <alignment horizontal="center" textRotation="90" wrapText="1"/>
    </xf>
    <xf numFmtId="0" fontId="8" fillId="28" borderId="15" xfId="0" applyFont="1" applyFill="1" applyBorder="1" applyAlignment="1" applyProtection="1">
      <alignment horizontal="center" textRotation="90" wrapText="1"/>
    </xf>
    <xf numFmtId="0" fontId="0" fillId="28" borderId="22" xfId="0" applyFont="1" applyFill="1" applyBorder="1" applyAlignment="1" applyProtection="1">
      <alignment horizontal="center" textRotation="90" wrapText="1"/>
    </xf>
    <xf numFmtId="0" fontId="0" fillId="41" borderId="13" xfId="0" applyFont="1" applyFill="1" applyBorder="1" applyAlignment="1">
      <alignment vertical="top"/>
    </xf>
    <xf numFmtId="49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0" fillId="42" borderId="13" xfId="0" applyFont="1" applyFill="1" applyBorder="1" applyAlignment="1">
      <alignment vertical="center"/>
    </xf>
    <xf numFmtId="0" fontId="0" fillId="36" borderId="13" xfId="0" applyFont="1" applyFill="1" applyBorder="1" applyAlignment="1" applyProtection="1">
      <alignment horizontal="justify"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justify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49" fontId="8" fillId="34" borderId="14" xfId="0" applyNumberFormat="1" applyFont="1" applyFill="1" applyBorder="1" applyAlignment="1" applyProtection="1">
      <alignment horizontal="left" vertical="center" wrapText="1"/>
    </xf>
    <xf numFmtId="1" fontId="8" fillId="34" borderId="14" xfId="0" applyNumberFormat="1" applyFont="1" applyFill="1" applyBorder="1" applyAlignment="1" applyProtection="1">
      <alignment horizontal="left" vertical="center" wrapText="1"/>
    </xf>
    <xf numFmtId="0" fontId="0" fillId="34" borderId="14" xfId="0" applyFont="1" applyFill="1" applyBorder="1" applyAlignment="1" applyProtection="1">
      <alignment horizontal="center" vertical="center" wrapText="1"/>
    </xf>
    <xf numFmtId="49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0" xfId="0" applyNumberFormat="1" applyFont="1" applyFill="1" applyBorder="1" applyAlignment="1" applyProtection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 wrapText="1"/>
    </xf>
    <xf numFmtId="0" fontId="0" fillId="34" borderId="16" xfId="0" applyFont="1" applyFill="1" applyBorder="1" applyAlignment="1" applyProtection="1">
      <alignment horizontal="center" vertical="center" wrapText="1"/>
    </xf>
    <xf numFmtId="0" fontId="8" fillId="34" borderId="45" xfId="0" applyNumberFormat="1" applyFont="1" applyFill="1" applyBorder="1" applyAlignment="1" applyProtection="1">
      <alignment horizontal="left" vertical="center" wrapText="1"/>
    </xf>
    <xf numFmtId="3" fontId="0" fillId="25" borderId="13" xfId="0" applyNumberFormat="1" applyFont="1" applyFill="1" applyBorder="1" applyAlignment="1" applyProtection="1">
      <alignment horizontal="center" vertical="center" wrapText="1"/>
    </xf>
    <xf numFmtId="3" fontId="0" fillId="25" borderId="17" xfId="0" applyNumberFormat="1" applyFont="1" applyFill="1" applyBorder="1" applyAlignment="1" applyProtection="1">
      <alignment horizontal="center" vertical="center" wrapText="1"/>
    </xf>
    <xf numFmtId="1" fontId="8" fillId="25" borderId="13" xfId="0" applyNumberFormat="1" applyFont="1" applyFill="1" applyBorder="1" applyAlignment="1" applyProtection="1">
      <alignment horizontal="center" vertical="center" wrapText="1"/>
    </xf>
    <xf numFmtId="1" fontId="8" fillId="25" borderId="42" xfId="0" applyNumberFormat="1" applyFont="1" applyFill="1" applyBorder="1" applyAlignment="1" applyProtection="1">
      <alignment horizontal="center" vertical="center" wrapText="1"/>
    </xf>
    <xf numFmtId="1" fontId="8" fillId="25" borderId="19" xfId="0" applyNumberFormat="1" applyFont="1" applyFill="1" applyBorder="1" applyAlignment="1" applyProtection="1">
      <alignment horizontal="center" vertical="center" wrapText="1"/>
    </xf>
    <xf numFmtId="3" fontId="0" fillId="25" borderId="18" xfId="0" applyNumberFormat="1" applyFont="1" applyFill="1" applyBorder="1" applyAlignment="1" applyProtection="1">
      <alignment horizontal="center" vertical="center" wrapText="1"/>
    </xf>
    <xf numFmtId="3" fontId="0" fillId="25" borderId="40" xfId="0" applyNumberFormat="1" applyFont="1" applyFill="1" applyBorder="1" applyAlignment="1" applyProtection="1">
      <alignment horizontal="center" vertical="center" wrapText="1"/>
    </xf>
    <xf numFmtId="3" fontId="0" fillId="25" borderId="47" xfId="0" applyNumberFormat="1" applyFont="1" applyFill="1" applyBorder="1" applyAlignment="1" applyProtection="1">
      <alignment horizontal="center" vertical="center" wrapText="1"/>
    </xf>
    <xf numFmtId="0" fontId="0" fillId="34" borderId="45" xfId="0" applyNumberFormat="1" applyFont="1" applyFill="1" applyBorder="1" applyAlignment="1" applyProtection="1">
      <alignment horizontal="left" vertical="center" wrapText="1"/>
    </xf>
    <xf numFmtId="1" fontId="0" fillId="34" borderId="42" xfId="0" applyNumberFormat="1" applyFont="1" applyFill="1" applyBorder="1" applyAlignment="1" applyProtection="1">
      <alignment horizontal="center" vertical="center" wrapText="1"/>
    </xf>
    <xf numFmtId="3" fontId="0" fillId="25" borderId="42" xfId="0" applyNumberFormat="1" applyFont="1" applyFill="1" applyBorder="1" applyAlignment="1" applyProtection="1">
      <alignment horizontal="center" vertical="center" wrapText="1"/>
    </xf>
    <xf numFmtId="1" fontId="0" fillId="25" borderId="13" xfId="0" applyNumberFormat="1" applyFont="1" applyFill="1" applyBorder="1" applyAlignment="1" applyProtection="1">
      <alignment horizontal="center" vertical="center" wrapText="1"/>
    </xf>
    <xf numFmtId="1" fontId="0" fillId="25" borderId="42" xfId="0" applyNumberFormat="1" applyFont="1" applyFill="1" applyBorder="1" applyAlignment="1" applyProtection="1">
      <alignment horizontal="center" vertical="center" wrapText="1"/>
    </xf>
    <xf numFmtId="1" fontId="0" fillId="25" borderId="19" xfId="0" applyNumberFormat="1" applyFont="1" applyFill="1" applyBorder="1" applyAlignment="1" applyProtection="1">
      <alignment horizontal="center" vertical="center" wrapText="1"/>
    </xf>
    <xf numFmtId="49" fontId="0" fillId="34" borderId="48" xfId="0" applyNumberFormat="1" applyFont="1" applyFill="1" applyBorder="1" applyAlignment="1" applyProtection="1">
      <alignment horizontal="center" vertical="center" wrapText="1"/>
    </xf>
    <xf numFmtId="1" fontId="8" fillId="25" borderId="24" xfId="0" applyNumberFormat="1" applyFont="1" applyFill="1" applyBorder="1" applyAlignment="1" applyProtection="1">
      <alignment horizontal="center" vertical="center" wrapText="1"/>
    </xf>
    <xf numFmtId="3" fontId="0" fillId="25" borderId="24" xfId="0" applyNumberFormat="1" applyFont="1" applyFill="1" applyBorder="1" applyAlignment="1" applyProtection="1">
      <alignment horizontal="center" vertical="center" wrapText="1"/>
    </xf>
    <xf numFmtId="3" fontId="0" fillId="25" borderId="22" xfId="0" applyNumberFormat="1" applyFont="1" applyFill="1" applyBorder="1" applyAlignment="1" applyProtection="1">
      <alignment horizontal="center" vertical="center" wrapText="1"/>
    </xf>
    <xf numFmtId="49" fontId="8" fillId="34" borderId="48" xfId="0" applyNumberFormat="1" applyFont="1" applyFill="1" applyBorder="1" applyAlignment="1" applyProtection="1">
      <alignment horizontal="left" vertical="center" wrapText="1"/>
    </xf>
    <xf numFmtId="49" fontId="0" fillId="34" borderId="48" xfId="0" applyNumberFormat="1" applyFont="1" applyFill="1" applyBorder="1" applyAlignment="1" applyProtection="1">
      <alignment horizontal="left" vertical="center" wrapText="1"/>
    </xf>
    <xf numFmtId="49" fontId="0" fillId="34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top" wrapText="1"/>
    </xf>
    <xf numFmtId="1" fontId="0" fillId="0" borderId="0" xfId="0" applyNumberFormat="1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left" vertical="top" wrapText="1"/>
    </xf>
    <xf numFmtId="0" fontId="0" fillId="42" borderId="0" xfId="0" applyFont="1" applyFill="1" applyBorder="1" applyAlignment="1" applyProtection="1">
      <alignment horizontal="left" vertical="top" wrapText="1"/>
    </xf>
    <xf numFmtId="1" fontId="0" fillId="42" borderId="0" xfId="0" applyNumberFormat="1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</xf>
    <xf numFmtId="0" fontId="0" fillId="42" borderId="0" xfId="0" applyNumberFormat="1" applyFont="1" applyFill="1" applyBorder="1" applyAlignment="1" applyProtection="1">
      <alignment horizontal="left" vertical="top" wrapText="1"/>
    </xf>
    <xf numFmtId="49" fontId="0" fillId="42" borderId="0" xfId="0" applyNumberFormat="1" applyFont="1" applyFill="1" applyBorder="1" applyAlignment="1" applyProtection="1">
      <alignment horizontal="left" vertical="top" wrapText="1"/>
    </xf>
    <xf numFmtId="2" fontId="0" fillId="42" borderId="0" xfId="0" applyNumberFormat="1" applyFont="1" applyFill="1" applyBorder="1" applyAlignment="1" applyProtection="1">
      <alignment horizontal="left" vertical="top" wrapText="1"/>
    </xf>
    <xf numFmtId="0" fontId="8" fillId="30" borderId="13" xfId="0" applyFont="1" applyFill="1" applyBorder="1" applyAlignment="1" applyProtection="1">
      <alignment horizontal="left" vertical="center" wrapText="1"/>
    </xf>
    <xf numFmtId="49" fontId="8" fillId="30" borderId="20" xfId="0" applyNumberFormat="1" applyFont="1" applyFill="1" applyBorder="1" applyAlignment="1" applyProtection="1">
      <alignment horizontal="left" vertical="center" wrapText="1"/>
    </xf>
    <xf numFmtId="0" fontId="8" fillId="42" borderId="13" xfId="0" applyFont="1" applyFill="1" applyBorder="1" applyAlignment="1" applyProtection="1">
      <alignment horizontal="left" vertical="center" wrapText="1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27" borderId="13" xfId="0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6" borderId="24" xfId="0" applyFont="1" applyFill="1" applyBorder="1" applyAlignment="1" applyProtection="1">
      <alignment horizontal="left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8" xfId="0" applyNumberFormat="1" applyFont="1" applyFill="1" applyBorder="1" applyAlignment="1" applyProtection="1">
      <alignment horizontal="center" textRotation="90" wrapText="1"/>
    </xf>
    <xf numFmtId="0" fontId="0" fillId="28" borderId="24" xfId="0" applyFill="1" applyBorder="1" applyAlignment="1" applyProtection="1">
      <alignment horizontal="center" textRotation="90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39" fillId="37" borderId="13" xfId="0" applyFont="1" applyFill="1" applyBorder="1" applyAlignment="1" applyProtection="1">
      <alignment horizontal="left" vertical="center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8" xfId="0" applyNumberFormat="1" applyFont="1" applyFill="1" applyBorder="1" applyAlignment="1" applyProtection="1">
      <alignment horizontal="center" textRotation="90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0" fontId="3" fillId="28" borderId="15" xfId="0" applyFont="1" applyFill="1" applyBorder="1" applyAlignment="1" applyProtection="1">
      <alignment horizontal="center" textRotation="90" wrapText="1"/>
    </xf>
    <xf numFmtId="1" fontId="0" fillId="28" borderId="16" xfId="0" applyNumberFormat="1" applyFont="1" applyFill="1" applyBorder="1" applyAlignment="1" applyProtection="1">
      <alignment vertical="top" wrapText="1"/>
    </xf>
    <xf numFmtId="49" fontId="0" fillId="28" borderId="14" xfId="0" applyNumberFormat="1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vertical="top" wrapText="1"/>
    </xf>
    <xf numFmtId="1" fontId="7" fillId="28" borderId="16" xfId="0" applyNumberFormat="1" applyFont="1" applyFill="1" applyBorder="1" applyAlignment="1" applyProtection="1">
      <alignment horizontal="center" vertical="top" wrapText="1"/>
    </xf>
    <xf numFmtId="1" fontId="8" fillId="30" borderId="13" xfId="0" applyNumberFormat="1" applyFont="1" applyFill="1" applyBorder="1" applyAlignment="1" applyProtection="1">
      <alignment horizontal="center" vertical="top" wrapText="1"/>
    </xf>
    <xf numFmtId="1" fontId="2" fillId="0" borderId="13" xfId="0" applyNumberFormat="1" applyFont="1" applyFill="1" applyBorder="1" applyAlignment="1" applyProtection="1">
      <alignment horizontal="center" vertical="top" wrapText="1" readingOrder="1"/>
    </xf>
    <xf numFmtId="1" fontId="3" fillId="33" borderId="13" xfId="0" applyNumberFormat="1" applyFont="1" applyFill="1" applyBorder="1" applyAlignment="1" applyProtection="1">
      <alignment horizontal="center" vertical="top" wrapText="1"/>
    </xf>
    <xf numFmtId="1" fontId="2" fillId="32" borderId="13" xfId="0" applyNumberFormat="1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36" borderId="13" xfId="0" applyFont="1" applyFill="1" applyBorder="1" applyAlignment="1" applyProtection="1">
      <alignment horizontal="left" vertical="top" wrapText="1"/>
    </xf>
    <xf numFmtId="1" fontId="8" fillId="42" borderId="13" xfId="0" applyNumberFormat="1" applyFont="1" applyFill="1" applyBorder="1" applyAlignment="1" applyProtection="1">
      <alignment horizontal="center" vertical="top" wrapText="1"/>
    </xf>
    <xf numFmtId="1" fontId="2" fillId="42" borderId="13" xfId="0" applyNumberFormat="1" applyFont="1" applyFill="1" applyBorder="1" applyAlignment="1" applyProtection="1">
      <alignment horizontal="center" vertical="top" wrapText="1"/>
    </xf>
    <xf numFmtId="0" fontId="2" fillId="42" borderId="13" xfId="0" applyFont="1" applyFill="1" applyBorder="1" applyAlignment="1" applyProtection="1">
      <alignment horizontal="center" vertical="top" wrapText="1"/>
      <protection locked="0"/>
    </xf>
    <xf numFmtId="0" fontId="8" fillId="36" borderId="13" xfId="0" applyFont="1" applyFill="1" applyBorder="1" applyAlignment="1" applyProtection="1">
      <alignment horizontal="left" vertical="top" wrapText="1"/>
    </xf>
    <xf numFmtId="49" fontId="8" fillId="36" borderId="13" xfId="0" applyNumberFormat="1" applyFont="1" applyFill="1" applyBorder="1" applyAlignment="1" applyProtection="1">
      <alignment horizontal="center" vertical="top" wrapText="1"/>
    </xf>
    <xf numFmtId="1" fontId="8" fillId="36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30" borderId="13" xfId="0" applyNumberFormat="1" applyFont="1" applyFill="1" applyBorder="1" applyAlignment="1" applyProtection="1">
      <alignment horizontal="left" vertical="top" wrapText="1"/>
    </xf>
    <xf numFmtId="0" fontId="8" fillId="30" borderId="13" xfId="0" applyFont="1" applyFill="1" applyBorder="1" applyAlignment="1" applyProtection="1">
      <alignment horizontal="left" vertical="top" wrapText="1"/>
    </xf>
    <xf numFmtId="49" fontId="8" fillId="30" borderId="13" xfId="0" applyNumberFormat="1" applyFont="1" applyFill="1" applyBorder="1" applyAlignment="1" applyProtection="1">
      <alignment horizontal="center" vertical="top" wrapText="1"/>
    </xf>
    <xf numFmtId="1" fontId="3" fillId="30" borderId="13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7" fillId="28" borderId="15" xfId="0" applyNumberFormat="1" applyFont="1" applyFill="1" applyBorder="1" applyAlignment="1" applyProtection="1">
      <alignment horizontal="center" vertical="top" wrapText="1"/>
    </xf>
    <xf numFmtId="49" fontId="7" fillId="28" borderId="10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vertical="top" wrapText="1"/>
    </xf>
    <xf numFmtId="1" fontId="3" fillId="25" borderId="76" xfId="0" applyNumberFormat="1" applyFont="1" applyFill="1" applyBorder="1" applyAlignment="1" applyProtection="1">
      <alignment horizontal="center" vertical="top" wrapText="1"/>
    </xf>
    <xf numFmtId="1" fontId="3" fillId="25" borderId="42" xfId="0" applyNumberFormat="1" applyFont="1" applyFill="1" applyBorder="1" applyAlignment="1" applyProtection="1">
      <alignment horizontal="center" vertical="top" wrapText="1"/>
    </xf>
    <xf numFmtId="1" fontId="7" fillId="25" borderId="42" xfId="0" applyNumberFormat="1" applyFont="1" applyFill="1" applyBorder="1" applyAlignment="1" applyProtection="1">
      <alignment horizontal="center" vertical="top" wrapText="1"/>
    </xf>
    <xf numFmtId="1" fontId="3" fillId="25" borderId="13" xfId="0" applyNumberFormat="1" applyFont="1" applyFill="1" applyBorder="1" applyAlignment="1" applyProtection="1">
      <alignment horizontal="center" vertical="top" wrapText="1"/>
    </xf>
    <xf numFmtId="1" fontId="7" fillId="25" borderId="13" xfId="0" applyNumberFormat="1" applyFont="1" applyFill="1" applyBorder="1" applyAlignment="1" applyProtection="1">
      <alignment horizontal="center" vertical="top" wrapText="1"/>
    </xf>
    <xf numFmtId="0" fontId="0" fillId="41" borderId="13" xfId="0" applyNumberFormat="1" applyFont="1" applyFill="1" applyBorder="1" applyAlignment="1" applyProtection="1">
      <alignment horizontal="center" vertical="center"/>
      <protection locked="0"/>
    </xf>
    <xf numFmtId="0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13" xfId="0" applyFont="1" applyFill="1" applyBorder="1" applyAlignment="1" applyProtection="1">
      <alignment horizontal="center" vertical="center" wrapText="1"/>
    </xf>
    <xf numFmtId="0" fontId="0" fillId="30" borderId="13" xfId="0" applyFont="1" applyFill="1" applyBorder="1" applyAlignment="1" applyProtection="1">
      <alignment horizontal="left" vertical="center" wrapText="1"/>
    </xf>
    <xf numFmtId="1" fontId="0" fillId="30" borderId="13" xfId="0" applyNumberFormat="1" applyFont="1" applyFill="1" applyBorder="1" applyAlignment="1" applyProtection="1">
      <alignment horizontal="center" vertical="center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1" fontId="0" fillId="29" borderId="13" xfId="0" applyNumberFormat="1" applyFont="1" applyFill="1" applyBorder="1" applyAlignment="1" applyProtection="1">
      <alignment horizontal="center" vertical="center" wrapText="1"/>
    </xf>
    <xf numFmtId="0" fontId="0" fillId="37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29" borderId="13" xfId="0" applyFont="1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vertical="center" wrapText="1"/>
    </xf>
    <xf numFmtId="0" fontId="39" fillId="29" borderId="13" xfId="0" applyFont="1" applyFill="1" applyBorder="1" applyAlignment="1" applyProtection="1">
      <alignment vertical="center" wrapText="1"/>
    </xf>
    <xf numFmtId="0" fontId="0" fillId="36" borderId="13" xfId="0" applyFont="1" applyFill="1" applyBorder="1" applyAlignment="1" applyProtection="1">
      <alignment horizontal="left" vertical="center" wrapText="1"/>
    </xf>
    <xf numFmtId="0" fontId="0" fillId="41" borderId="13" xfId="0" applyFont="1" applyFill="1" applyBorder="1" applyAlignment="1" applyProtection="1">
      <alignment horizontal="left" vertical="center"/>
      <protection locked="0"/>
    </xf>
    <xf numFmtId="0" fontId="0" fillId="41" borderId="13" xfId="0" applyFont="1" applyFill="1" applyBorder="1" applyAlignment="1">
      <alignment vertical="center"/>
    </xf>
    <xf numFmtId="0" fontId="0" fillId="41" borderId="13" xfId="0" applyFont="1" applyFill="1" applyBorder="1" applyAlignment="1" applyProtection="1">
      <alignment vertical="center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</xf>
    <xf numFmtId="1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 applyProtection="1">
      <alignment horizontal="center" vertical="center" wrapText="1"/>
      <protection locked="0"/>
    </xf>
    <xf numFmtId="1" fontId="0" fillId="42" borderId="13" xfId="0" applyNumberFormat="1" applyFont="1" applyFill="1" applyBorder="1" applyAlignment="1" applyProtection="1">
      <alignment horizontal="center" vertical="center" wrapText="1"/>
    </xf>
    <xf numFmtId="0" fontId="0" fillId="42" borderId="13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</xf>
    <xf numFmtId="0" fontId="0" fillId="41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left" vertical="center" wrapText="1"/>
    </xf>
    <xf numFmtId="0" fontId="0" fillId="42" borderId="13" xfId="0" applyFont="1" applyFill="1" applyBorder="1" applyAlignment="1" applyProtection="1">
      <alignment horizontal="left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13" xfId="0" applyFont="1" applyFill="1" applyBorder="1" applyAlignment="1" applyProtection="1">
      <alignment vertical="center" wrapText="1"/>
    </xf>
    <xf numFmtId="0" fontId="0" fillId="42" borderId="13" xfId="0" applyFont="1" applyFill="1" applyBorder="1" applyAlignment="1" applyProtection="1">
      <alignment horizontal="justify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1" fontId="3" fillId="28" borderId="12" xfId="0" applyNumberFormat="1" applyFont="1" applyFill="1" applyBorder="1" applyAlignment="1" applyProtection="1">
      <alignment horizontal="center" textRotation="90" wrapText="1"/>
    </xf>
    <xf numFmtId="0" fontId="8" fillId="28" borderId="13" xfId="0" applyFont="1" applyFill="1" applyBorder="1" applyAlignment="1" applyProtection="1">
      <alignment horizontal="center" textRotation="90" wrapText="1"/>
    </xf>
    <xf numFmtId="0" fontId="0" fillId="28" borderId="13" xfId="0" applyFill="1" applyBorder="1" applyAlignment="1" applyProtection="1">
      <alignment horizontal="center" textRotation="90" wrapText="1"/>
    </xf>
    <xf numFmtId="0" fontId="0" fillId="28" borderId="13" xfId="0" applyFont="1" applyFill="1" applyBorder="1" applyAlignment="1" applyProtection="1">
      <alignment horizontal="center" textRotation="90" wrapText="1"/>
    </xf>
    <xf numFmtId="0" fontId="0" fillId="42" borderId="13" xfId="0" applyFill="1" applyBorder="1" applyAlignment="1" applyProtection="1">
      <alignment horizontal="left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0" borderId="13" xfId="0" applyFont="1" applyFill="1" applyBorder="1" applyAlignment="1" applyProtection="1">
      <alignment horizontal="center" vertical="center" wrapText="1"/>
      <protection locked="0"/>
    </xf>
    <xf numFmtId="1" fontId="8" fillId="28" borderId="12" xfId="0" applyNumberFormat="1" applyFont="1" applyFill="1" applyBorder="1" applyAlignment="1" applyProtection="1">
      <alignment horizontal="center" textRotation="90" wrapText="1"/>
    </xf>
    <xf numFmtId="1" fontId="8" fillId="28" borderId="15" xfId="0" applyNumberFormat="1" applyFont="1" applyFill="1" applyBorder="1" applyAlignment="1" applyProtection="1">
      <alignment horizontal="center" vertical="top" wrapText="1"/>
    </xf>
    <xf numFmtId="49" fontId="8" fillId="28" borderId="10" xfId="0" applyNumberFormat="1" applyFont="1" applyFill="1" applyBorder="1" applyAlignment="1" applyProtection="1">
      <alignment horizontal="center" vertical="top" wrapText="1"/>
    </xf>
    <xf numFmtId="49" fontId="0" fillId="28" borderId="15" xfId="0" applyNumberFormat="1" applyFont="1" applyFill="1" applyBorder="1" applyAlignment="1" applyProtection="1">
      <alignment horizontal="center" vertical="top" wrapText="1"/>
    </xf>
    <xf numFmtId="49" fontId="0" fillId="28" borderId="10" xfId="0" applyNumberFormat="1" applyFont="1" applyFill="1" applyBorder="1" applyAlignment="1" applyProtection="1">
      <alignment horizontal="center" vertical="top" wrapText="1"/>
    </xf>
    <xf numFmtId="1" fontId="0" fillId="28" borderId="16" xfId="0" applyNumberFormat="1" applyFont="1" applyFill="1" applyBorder="1" applyAlignment="1" applyProtection="1">
      <alignment horizontal="center" vertical="top" wrapText="1"/>
    </xf>
    <xf numFmtId="1" fontId="0" fillId="44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4" borderId="13" xfId="0" applyNumberFormat="1" applyFont="1" applyFill="1" applyBorder="1" applyAlignment="1" applyProtection="1">
      <alignment horizontal="center" vertical="center" wrapText="1"/>
    </xf>
    <xf numFmtId="49" fontId="0" fillId="44" borderId="13" xfId="0" applyNumberFormat="1" applyFont="1" applyFill="1" applyBorder="1" applyAlignment="1" applyProtection="1">
      <alignment horizontal="center" vertical="center" wrapText="1"/>
    </xf>
    <xf numFmtId="0" fontId="0" fillId="44" borderId="13" xfId="0" applyFont="1" applyFill="1" applyBorder="1" applyAlignment="1" applyProtection="1">
      <alignment horizontal="center" vertical="center" wrapText="1"/>
      <protection locked="0"/>
    </xf>
    <xf numFmtId="49" fontId="0" fillId="44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45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5" borderId="13" xfId="0" applyNumberFormat="1" applyFont="1" applyFill="1" applyBorder="1" applyAlignment="1" applyProtection="1">
      <alignment horizontal="center" vertical="center" wrapText="1"/>
    </xf>
    <xf numFmtId="49" fontId="0" fillId="45" borderId="13" xfId="0" applyNumberFormat="1" applyFont="1" applyFill="1" applyBorder="1" applyAlignment="1" applyProtection="1">
      <alignment horizontal="center" vertical="center" wrapText="1"/>
    </xf>
    <xf numFmtId="0" fontId="0" fillId="45" borderId="13" xfId="0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center" vertical="center" wrapText="1"/>
    </xf>
    <xf numFmtId="49" fontId="0" fillId="4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0" borderId="13" xfId="0" applyFont="1" applyFill="1" applyBorder="1" applyAlignment="1" applyProtection="1">
      <alignment vertical="center"/>
    </xf>
    <xf numFmtId="0" fontId="0" fillId="45" borderId="13" xfId="0" applyFont="1" applyFill="1" applyBorder="1" applyAlignment="1" applyProtection="1">
      <alignment horizontal="left" vertical="center" wrapText="1"/>
      <protection locked="0"/>
    </xf>
    <xf numFmtId="0" fontId="0" fillId="46" borderId="13" xfId="0" applyFont="1" applyFill="1" applyBorder="1" applyAlignment="1" applyProtection="1">
      <alignment horizontal="left" vertical="center" wrapText="1"/>
      <protection locked="0"/>
    </xf>
    <xf numFmtId="49" fontId="0" fillId="46" borderId="13" xfId="0" applyNumberFormat="1" applyFont="1" applyFill="1" applyBorder="1" applyAlignment="1" applyProtection="1">
      <alignment horizontal="center" vertical="center" wrapText="1"/>
    </xf>
    <xf numFmtId="1" fontId="0" fillId="46" borderId="13" xfId="0" applyNumberFormat="1" applyFont="1" applyFill="1" applyBorder="1" applyAlignment="1" applyProtection="1">
      <alignment horizontal="center" vertical="center" wrapText="1"/>
    </xf>
    <xf numFmtId="1" fontId="0" fillId="4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6" borderId="13" xfId="0" applyFont="1" applyFill="1" applyBorder="1" applyAlignment="1" applyProtection="1">
      <alignment horizontal="center" vertical="center" wrapText="1"/>
      <protection locked="0"/>
    </xf>
    <xf numFmtId="49" fontId="0" fillId="46" borderId="13" xfId="0" applyNumberFormat="1" applyFont="1" applyFill="1" applyBorder="1" applyAlignment="1" applyProtection="1">
      <alignment horizontal="left" vertical="center" wrapText="1"/>
      <protection locked="0"/>
    </xf>
    <xf numFmtId="0" fontId="47" fillId="46" borderId="13" xfId="0" applyFont="1" applyFill="1" applyBorder="1" applyAlignment="1" applyProtection="1">
      <alignment horizontal="left" vertical="center" wrapText="1"/>
      <protection locked="0"/>
    </xf>
    <xf numFmtId="1" fontId="8" fillId="25" borderId="15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ill="1" applyBorder="1" applyAlignment="1" applyProtection="1">
      <alignment horizontal="center" vertical="center" wrapText="1"/>
      <protection locked="0"/>
    </xf>
    <xf numFmtId="0" fontId="0" fillId="36" borderId="13" xfId="0" applyFill="1" applyBorder="1" applyAlignment="1" applyProtection="1">
      <alignment horizontal="center" vertical="center" wrapText="1"/>
      <protection locked="0"/>
    </xf>
    <xf numFmtId="0" fontId="8" fillId="30" borderId="13" xfId="0" applyFont="1" applyFill="1" applyBorder="1" applyAlignment="1" applyProtection="1">
      <alignment horizontal="center" vertical="center" wrapText="1"/>
    </xf>
    <xf numFmtId="0" fontId="8" fillId="29" borderId="13" xfId="0" applyFont="1" applyFill="1" applyBorder="1" applyAlignment="1" applyProtection="1">
      <alignment horizontal="center" vertical="center" wrapText="1"/>
    </xf>
    <xf numFmtId="49" fontId="0" fillId="30" borderId="13" xfId="0" applyNumberForma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/>
    </xf>
    <xf numFmtId="0" fontId="4" fillId="32" borderId="0" xfId="0" applyFont="1" applyFill="1" applyAlignment="1">
      <alignment vertical="top" wrapText="1"/>
    </xf>
    <xf numFmtId="0" fontId="4" fillId="24" borderId="24" xfId="0" applyFont="1" applyFill="1" applyBorder="1" applyAlignment="1">
      <alignment vertical="center" textRotation="90" wrapText="1"/>
    </xf>
    <xf numFmtId="0" fontId="6" fillId="0" borderId="4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40" xfId="0" applyFont="1" applyFill="1" applyBorder="1" applyAlignment="1">
      <alignment horizontal="center" vertical="top" wrapText="1"/>
    </xf>
    <xf numFmtId="0" fontId="4" fillId="24" borderId="42" xfId="0" applyFont="1" applyFill="1" applyBorder="1" applyAlignment="1">
      <alignment horizontal="center" vertical="top" wrapText="1"/>
    </xf>
    <xf numFmtId="0" fontId="14" fillId="24" borderId="24" xfId="0" applyFont="1" applyFill="1" applyBorder="1" applyAlignment="1">
      <alignment horizontal="center" textRotation="90" wrapText="1"/>
    </xf>
    <xf numFmtId="0" fontId="14" fillId="24" borderId="48" xfId="0" applyFont="1" applyFill="1" applyBorder="1" applyAlignment="1">
      <alignment horizontal="center" textRotation="90" wrapText="1"/>
    </xf>
    <xf numFmtId="0" fontId="14" fillId="24" borderId="12" xfId="0" applyFont="1" applyFill="1" applyBorder="1" applyAlignment="1">
      <alignment horizontal="center" textRotation="90" wrapText="1"/>
    </xf>
    <xf numFmtId="0" fontId="7" fillId="32" borderId="0" xfId="0" applyFont="1" applyFill="1" applyAlignment="1">
      <alignment horizontal="center" vertical="top" wrapText="1"/>
    </xf>
    <xf numFmtId="0" fontId="4" fillId="24" borderId="22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3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Alignment="1">
      <alignment vertical="top" wrapText="1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2" fillId="32" borderId="0" xfId="0" applyFont="1" applyFill="1" applyAlignment="1">
      <alignment vertical="top" wrapText="1"/>
    </xf>
    <xf numFmtId="0" fontId="2" fillId="0" borderId="0" xfId="0" applyFont="1" applyFill="1" applyAlignment="1" applyProtection="1">
      <alignment vertical="top" wrapText="1"/>
      <protection locked="0"/>
    </xf>
    <xf numFmtId="0" fontId="10" fillId="32" borderId="0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36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2" fontId="7" fillId="32" borderId="0" xfId="0" applyNumberFormat="1" applyFont="1" applyFill="1" applyBorder="1" applyAlignment="1" applyProtection="1">
      <alignment horizontal="justify" vertical="top" wrapText="1"/>
      <protection locked="0"/>
    </xf>
    <xf numFmtId="0" fontId="14" fillId="24" borderId="22" xfId="0" applyFont="1" applyFill="1" applyBorder="1" applyAlignment="1">
      <alignment horizontal="center" vertical="center" textRotation="90" wrapText="1"/>
    </xf>
    <xf numFmtId="0" fontId="14" fillId="24" borderId="14" xfId="0" applyFont="1" applyFill="1" applyBorder="1" applyAlignment="1">
      <alignment horizontal="center" vertical="center" textRotation="90" wrapText="1"/>
    </xf>
    <xf numFmtId="0" fontId="14" fillId="24" borderId="15" xfId="0" applyFont="1" applyFill="1" applyBorder="1" applyAlignment="1">
      <alignment horizontal="center" vertical="center" textRotation="90" wrapText="1"/>
    </xf>
    <xf numFmtId="0" fontId="14" fillId="24" borderId="45" xfId="0" applyFont="1" applyFill="1" applyBorder="1" applyAlignment="1">
      <alignment horizontal="center" vertical="center" textRotation="90" wrapText="1"/>
    </xf>
    <xf numFmtId="0" fontId="14" fillId="24" borderId="0" xfId="0" applyFont="1" applyFill="1" applyBorder="1" applyAlignment="1">
      <alignment horizontal="center" vertical="center" textRotation="90" wrapText="1"/>
    </xf>
    <xf numFmtId="0" fontId="14" fillId="24" borderId="11" xfId="0" applyFont="1" applyFill="1" applyBorder="1" applyAlignment="1">
      <alignment horizontal="center" vertical="center" textRotation="90" wrapText="1"/>
    </xf>
    <xf numFmtId="0" fontId="14" fillId="24" borderId="23" xfId="0" applyFont="1" applyFill="1" applyBorder="1" applyAlignment="1">
      <alignment horizontal="center" vertical="center" textRotation="90" wrapText="1"/>
    </xf>
    <xf numFmtId="0" fontId="14" fillId="24" borderId="16" xfId="0" applyFont="1" applyFill="1" applyBorder="1" applyAlignment="1">
      <alignment horizontal="center" vertical="center" textRotation="90" wrapText="1"/>
    </xf>
    <xf numFmtId="0" fontId="14" fillId="24" borderId="10" xfId="0" applyFont="1" applyFill="1" applyBorder="1" applyAlignment="1">
      <alignment horizontal="center" vertical="center" textRotation="90" wrapText="1"/>
    </xf>
    <xf numFmtId="0" fontId="9" fillId="24" borderId="48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26" borderId="13" xfId="0" applyFont="1" applyFill="1" applyBorder="1" applyAlignment="1">
      <alignment vertical="top" wrapText="1"/>
    </xf>
    <xf numFmtId="49" fontId="8" fillId="28" borderId="87" xfId="0" applyNumberFormat="1" applyFont="1" applyFill="1" applyBorder="1" applyAlignment="1" applyProtection="1">
      <alignment horizontal="center" vertical="top" wrapText="1"/>
    </xf>
    <xf numFmtId="49" fontId="8" fillId="28" borderId="34" xfId="0" applyNumberFormat="1" applyFont="1" applyFill="1" applyBorder="1" applyAlignment="1" applyProtection="1">
      <alignment horizontal="center" vertical="top" wrapText="1"/>
    </xf>
    <xf numFmtId="1" fontId="0" fillId="28" borderId="16" xfId="0" applyNumberFormat="1" applyFont="1" applyFill="1" applyBorder="1" applyAlignment="1" applyProtection="1">
      <alignment horizontal="left" vertical="top" wrapText="1"/>
    </xf>
    <xf numFmtId="49" fontId="0" fillId="28" borderId="22" xfId="0" applyNumberFormat="1" applyFont="1" applyFill="1" applyBorder="1" applyAlignment="1" applyProtection="1">
      <alignment horizontal="left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1" fontId="0" fillId="28" borderId="23" xfId="0" applyNumberFormat="1" applyFont="1" applyFill="1" applyBorder="1" applyAlignment="1" applyProtection="1">
      <alignment horizontal="left" vertical="top" wrapText="1"/>
    </xf>
    <xf numFmtId="49" fontId="8" fillId="28" borderId="22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vertical="top" wrapText="1"/>
    </xf>
    <xf numFmtId="49" fontId="8" fillId="28" borderId="48" xfId="0" applyNumberFormat="1" applyFont="1" applyFill="1" applyBorder="1" applyAlignment="1" applyProtection="1">
      <alignment horizontal="center" vertical="top" wrapText="1"/>
    </xf>
    <xf numFmtId="49" fontId="8" fillId="28" borderId="12" xfId="0" applyNumberFormat="1" applyFont="1" applyFill="1" applyBorder="1" applyAlignment="1" applyProtection="1">
      <alignment horizontal="center" vertical="top" wrapText="1"/>
    </xf>
    <xf numFmtId="0" fontId="8" fillId="28" borderId="40" xfId="0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8" xfId="0" applyNumberFormat="1" applyFont="1" applyFill="1" applyBorder="1" applyAlignment="1" applyProtection="1">
      <alignment horizontal="center" textRotation="90" wrapText="1"/>
    </xf>
    <xf numFmtId="49" fontId="8" fillId="43" borderId="22" xfId="0" applyNumberFormat="1" applyFont="1" applyFill="1" applyBorder="1" applyAlignment="1" applyProtection="1">
      <alignment horizontal="center" textRotation="90" wrapText="1"/>
    </xf>
    <xf numFmtId="49" fontId="8" fillId="43" borderId="45" xfId="0" applyNumberFormat="1" applyFont="1" applyFill="1" applyBorder="1" applyAlignment="1" applyProtection="1">
      <alignment horizontal="center" textRotation="90" wrapText="1"/>
    </xf>
    <xf numFmtId="49" fontId="8" fillId="28" borderId="39" xfId="0" applyNumberFormat="1" applyFont="1" applyFill="1" applyBorder="1" applyAlignment="1" applyProtection="1">
      <alignment horizontal="center" vertical="top" wrapText="1"/>
    </xf>
    <xf numFmtId="49" fontId="8" fillId="28" borderId="36" xfId="0" applyNumberFormat="1" applyFont="1" applyFill="1" applyBorder="1" applyAlignment="1" applyProtection="1">
      <alignment horizontal="center" vertical="top" wrapText="1"/>
    </xf>
    <xf numFmtId="49" fontId="8" fillId="28" borderId="29" xfId="0" applyNumberFormat="1" applyFont="1" applyFill="1" applyBorder="1" applyAlignment="1" applyProtection="1">
      <alignment horizontal="center" vertical="top" wrapText="1"/>
    </xf>
    <xf numFmtId="49" fontId="8" fillId="28" borderId="27" xfId="0" applyNumberFormat="1" applyFont="1" applyFill="1" applyBorder="1" applyAlignment="1" applyProtection="1">
      <alignment horizontal="center" vertical="top" wrapText="1"/>
    </xf>
    <xf numFmtId="49" fontId="8" fillId="28" borderId="32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vertical="top" wrapText="1"/>
    </xf>
    <xf numFmtId="0" fontId="8" fillId="28" borderId="24" xfId="0" applyFont="1" applyFill="1" applyBorder="1" applyAlignment="1" applyProtection="1">
      <alignment horizontal="center" textRotation="90" wrapText="1"/>
    </xf>
    <xf numFmtId="0" fontId="8" fillId="28" borderId="48" xfId="0" applyFont="1" applyFill="1" applyBorder="1" applyAlignment="1" applyProtection="1">
      <alignment horizontal="center" textRotation="90" wrapText="1"/>
    </xf>
    <xf numFmtId="49" fontId="8" fillId="28" borderId="37" xfId="0" applyNumberFormat="1" applyFont="1" applyFill="1" applyBorder="1" applyAlignment="1" applyProtection="1">
      <alignment horizontal="center" vertical="top" wrapText="1"/>
    </xf>
    <xf numFmtId="49" fontId="8" fillId="28" borderId="50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0" fontId="8" fillId="28" borderId="42" xfId="0" applyFont="1" applyFill="1" applyBorder="1" applyAlignment="1" applyProtection="1">
      <alignment horizontal="center" vertical="top" wrapText="1"/>
    </xf>
    <xf numFmtId="49" fontId="8" fillId="28" borderId="44" xfId="0" applyNumberFormat="1" applyFont="1" applyFill="1" applyBorder="1" applyAlignment="1" applyProtection="1">
      <alignment horizontal="center" vertical="top" wrapText="1"/>
    </xf>
    <xf numFmtId="0" fontId="0" fillId="44" borderId="13" xfId="0" applyFont="1" applyFill="1" applyBorder="1" applyAlignment="1" applyProtection="1">
      <alignment horizontal="left" vertical="center" wrapText="1"/>
      <protection locked="0"/>
    </xf>
    <xf numFmtId="0" fontId="0" fillId="45" borderId="13" xfId="0" applyFont="1" applyFill="1" applyBorder="1" applyAlignment="1" applyProtection="1">
      <alignment horizontal="left" vertical="center" wrapText="1"/>
      <protection locked="0"/>
    </xf>
    <xf numFmtId="0" fontId="39" fillId="37" borderId="13" xfId="0" applyFont="1" applyFill="1" applyBorder="1" applyAlignment="1" applyProtection="1">
      <alignment horizontal="left" vertical="center" wrapText="1"/>
    </xf>
    <xf numFmtId="0" fontId="0" fillId="30" borderId="17" xfId="0" applyFont="1" applyFill="1" applyBorder="1" applyAlignment="1" applyProtection="1">
      <alignment horizontal="left" vertical="center" wrapText="1"/>
    </xf>
    <xf numFmtId="0" fontId="0" fillId="30" borderId="40" xfId="0" applyFont="1" applyFill="1" applyBorder="1" applyAlignment="1" applyProtection="1">
      <alignment horizontal="left" vertical="center" wrapText="1"/>
    </xf>
    <xf numFmtId="0" fontId="0" fillId="30" borderId="42" xfId="0" applyFont="1" applyFill="1" applyBorder="1" applyAlignment="1" applyProtection="1">
      <alignment horizontal="left" vertical="center" wrapText="1"/>
    </xf>
    <xf numFmtId="0" fontId="0" fillId="29" borderId="13" xfId="0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horizontal="left" vertical="center" wrapText="1"/>
    </xf>
    <xf numFmtId="0" fontId="0" fillId="30" borderId="13" xfId="0" applyFont="1" applyFill="1" applyBorder="1" applyAlignment="1" applyProtection="1">
      <alignment horizontal="left" vertical="center" wrapText="1"/>
    </xf>
    <xf numFmtId="0" fontId="8" fillId="28" borderId="24" xfId="0" applyFont="1" applyFill="1" applyBorder="1" applyAlignment="1" applyProtection="1">
      <alignment horizontal="center" vertical="top" wrapText="1"/>
    </xf>
    <xf numFmtId="0" fontId="8" fillId="28" borderId="48" xfId="0" applyFont="1" applyFill="1" applyBorder="1" applyAlignment="1" applyProtection="1">
      <alignment horizontal="center" vertical="top" wrapText="1"/>
    </xf>
    <xf numFmtId="49" fontId="8" fillId="28" borderId="23" xfId="0" applyNumberFormat="1" applyFont="1" applyFill="1" applyBorder="1" applyAlignment="1" applyProtection="1">
      <alignment horizontal="center" vertical="top" wrapText="1"/>
    </xf>
    <xf numFmtId="0" fontId="8" fillId="28" borderId="15" xfId="0" applyFont="1" applyFill="1" applyBorder="1" applyAlignment="1" applyProtection="1">
      <alignment horizontal="center" vertical="top" wrapText="1"/>
    </xf>
    <xf numFmtId="0" fontId="8" fillId="28" borderId="11" xfId="0" applyFont="1" applyFill="1" applyBorder="1" applyAlignment="1" applyProtection="1">
      <alignment horizontal="center" vertical="top" wrapText="1"/>
    </xf>
    <xf numFmtId="0" fontId="0" fillId="0" borderId="48" xfId="0" applyFont="1" applyBorder="1" applyAlignment="1" applyProtection="1"/>
    <xf numFmtId="49" fontId="8" fillId="28" borderId="35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61" xfId="0" applyNumberFormat="1" applyFont="1" applyFill="1" applyBorder="1" applyAlignment="1" applyProtection="1">
      <alignment horizontal="center" vertical="top" wrapText="1"/>
    </xf>
    <xf numFmtId="49" fontId="8" fillId="28" borderId="33" xfId="0" applyNumberFormat="1" applyFont="1" applyFill="1" applyBorder="1" applyAlignment="1" applyProtection="1">
      <alignment horizontal="center" vertical="top" wrapText="1"/>
    </xf>
    <xf numFmtId="49" fontId="8" fillId="28" borderId="26" xfId="0" applyNumberFormat="1" applyFont="1" applyFill="1" applyBorder="1" applyAlignment="1" applyProtection="1">
      <alignment horizontal="center" vertical="top" wrapText="1"/>
    </xf>
    <xf numFmtId="49" fontId="8" fillId="28" borderId="28" xfId="0" applyNumberFormat="1" applyFont="1" applyFill="1" applyBorder="1" applyAlignment="1" applyProtection="1">
      <alignment horizontal="center" vertical="top" wrapText="1"/>
    </xf>
    <xf numFmtId="1" fontId="8" fillId="28" borderId="22" xfId="0" applyNumberFormat="1" applyFont="1" applyFill="1" applyBorder="1" applyAlignment="1" applyProtection="1">
      <alignment horizontal="center" vertical="top" wrapText="1"/>
    </xf>
    <xf numFmtId="1" fontId="8" fillId="28" borderId="15" xfId="0" applyNumberFormat="1" applyFont="1" applyFill="1" applyBorder="1" applyAlignment="1" applyProtection="1">
      <alignment horizontal="center" vertical="top" wrapText="1"/>
    </xf>
    <xf numFmtId="1" fontId="8" fillId="28" borderId="45" xfId="0" applyNumberFormat="1" applyFont="1" applyFill="1" applyBorder="1" applyAlignment="1" applyProtection="1">
      <alignment horizontal="center" vertical="top" wrapText="1"/>
    </xf>
    <xf numFmtId="1" fontId="8" fillId="28" borderId="11" xfId="0" applyNumberFormat="1" applyFont="1" applyFill="1" applyBorder="1" applyAlignment="1" applyProtection="1">
      <alignment horizontal="center" vertical="top" wrapText="1"/>
    </xf>
    <xf numFmtId="1" fontId="8" fillId="28" borderId="23" xfId="0" applyNumberFormat="1" applyFont="1" applyFill="1" applyBorder="1" applyAlignment="1" applyProtection="1">
      <alignment horizontal="center" vertical="top" wrapText="1"/>
    </xf>
    <xf numFmtId="1" fontId="8" fillId="28" borderId="10" xfId="0" applyNumberFormat="1" applyFont="1" applyFill="1" applyBorder="1" applyAlignment="1" applyProtection="1">
      <alignment horizontal="center" vertical="top" wrapText="1"/>
    </xf>
    <xf numFmtId="1" fontId="0" fillId="25" borderId="17" xfId="0" applyNumberFormat="1" applyFont="1" applyFill="1" applyBorder="1" applyAlignment="1" applyProtection="1">
      <alignment horizontal="center" vertical="center" wrapText="1"/>
    </xf>
    <xf numFmtId="1" fontId="0" fillId="25" borderId="40" xfId="0" applyNumberFormat="1" applyFont="1" applyFill="1" applyBorder="1" applyAlignment="1" applyProtection="1">
      <alignment horizontal="center" vertical="center" wrapText="1"/>
    </xf>
    <xf numFmtId="1" fontId="0" fillId="25" borderId="42" xfId="0" applyNumberFormat="1" applyFont="1" applyFill="1" applyBorder="1" applyAlignment="1" applyProtection="1">
      <alignment horizontal="center" vertical="center" wrapText="1"/>
    </xf>
    <xf numFmtId="1" fontId="0" fillId="25" borderId="41" xfId="0" applyNumberFormat="1" applyFont="1" applyFill="1" applyBorder="1" applyAlignment="1" applyProtection="1">
      <alignment horizontal="center" vertical="center" wrapText="1"/>
    </xf>
    <xf numFmtId="0" fontId="8" fillId="34" borderId="17" xfId="0" applyFont="1" applyFill="1" applyBorder="1" applyAlignment="1" applyProtection="1">
      <alignment horizontal="left" vertical="center" wrapText="1"/>
    </xf>
    <xf numFmtId="0" fontId="8" fillId="34" borderId="40" xfId="0" applyFont="1" applyFill="1" applyBorder="1" applyAlignment="1" applyProtection="1">
      <alignment horizontal="left" vertical="center" wrapText="1"/>
    </xf>
    <xf numFmtId="0" fontId="0" fillId="34" borderId="17" xfId="0" applyFont="1" applyFill="1" applyBorder="1" applyAlignment="1" applyProtection="1">
      <alignment horizontal="left" vertical="center" wrapText="1"/>
    </xf>
    <xf numFmtId="0" fontId="0" fillId="34" borderId="40" xfId="0" applyFont="1" applyFill="1" applyBorder="1" applyAlignment="1" applyProtection="1">
      <alignment horizontal="left" vertical="center" wrapText="1"/>
    </xf>
    <xf numFmtId="1" fontId="8" fillId="25" borderId="17" xfId="0" applyNumberFormat="1" applyFont="1" applyFill="1" applyBorder="1" applyAlignment="1" applyProtection="1">
      <alignment horizontal="center" vertical="center" wrapText="1"/>
    </xf>
    <xf numFmtId="1" fontId="8" fillId="25" borderId="40" xfId="0" applyNumberFormat="1" applyFont="1" applyFill="1" applyBorder="1" applyAlignment="1" applyProtection="1">
      <alignment horizontal="center" vertical="center" wrapText="1"/>
    </xf>
    <xf numFmtId="1" fontId="8" fillId="25" borderId="42" xfId="0" applyNumberFormat="1" applyFont="1" applyFill="1" applyBorder="1" applyAlignment="1" applyProtection="1">
      <alignment horizontal="center" vertical="center" wrapText="1"/>
    </xf>
    <xf numFmtId="1" fontId="0" fillId="25" borderId="22" xfId="0" applyNumberFormat="1" applyFont="1" applyFill="1" applyBorder="1" applyAlignment="1" applyProtection="1">
      <alignment horizontal="center" vertical="center" wrapText="1"/>
    </xf>
    <xf numFmtId="1" fontId="0" fillId="25" borderId="14" xfId="0" applyNumberFormat="1" applyFont="1" applyFill="1" applyBorder="1" applyAlignment="1" applyProtection="1">
      <alignment horizontal="center" vertical="center" wrapText="1"/>
    </xf>
    <xf numFmtId="1" fontId="0" fillId="25" borderId="15" xfId="0" applyNumberFormat="1" applyFont="1" applyFill="1" applyBorder="1" applyAlignment="1" applyProtection="1">
      <alignment horizontal="center" vertical="center" wrapText="1"/>
    </xf>
    <xf numFmtId="0" fontId="0" fillId="34" borderId="42" xfId="0" applyFont="1" applyFill="1" applyBorder="1" applyAlignment="1" applyProtection="1">
      <alignment horizontal="left" vertical="center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8" fillId="34" borderId="22" xfId="0" applyNumberFormat="1" applyFont="1" applyFill="1" applyBorder="1" applyAlignment="1" applyProtection="1">
      <alignment horizontal="left" vertical="center" wrapText="1"/>
    </xf>
    <xf numFmtId="0" fontId="8" fillId="34" borderId="14" xfId="0" applyNumberFormat="1" applyFont="1" applyFill="1" applyBorder="1" applyAlignment="1" applyProtection="1">
      <alignment horizontal="left" vertical="center" wrapText="1"/>
    </xf>
    <xf numFmtId="0" fontId="8" fillId="34" borderId="23" xfId="0" applyNumberFormat="1" applyFont="1" applyFill="1" applyBorder="1" applyAlignment="1" applyProtection="1">
      <alignment horizontal="left" vertical="center" wrapText="1"/>
    </xf>
    <xf numFmtId="0" fontId="8" fillId="34" borderId="16" xfId="0" applyNumberFormat="1" applyFont="1" applyFill="1" applyBorder="1" applyAlignment="1" applyProtection="1">
      <alignment horizontal="left" vertical="center" wrapText="1"/>
    </xf>
    <xf numFmtId="0" fontId="8" fillId="34" borderId="42" xfId="0" applyFont="1" applyFill="1" applyBorder="1" applyAlignment="1" applyProtection="1">
      <alignment horizontal="left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49" fontId="8" fillId="28" borderId="30" xfId="0" applyNumberFormat="1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textRotation="90" wrapText="1"/>
    </xf>
    <xf numFmtId="0" fontId="8" fillId="28" borderId="22" xfId="0" applyFont="1" applyFill="1" applyBorder="1" applyAlignment="1" applyProtection="1">
      <alignment horizontal="center" textRotation="90" wrapText="1"/>
    </xf>
    <xf numFmtId="0" fontId="0" fillId="45" borderId="13" xfId="0" applyFont="1" applyFill="1" applyBorder="1" applyAlignment="1" applyProtection="1">
      <alignment horizontal="left" wrapText="1"/>
      <protection locked="0"/>
    </xf>
    <xf numFmtId="1" fontId="0" fillId="25" borderId="46" xfId="0" applyNumberFormat="1" applyFont="1" applyFill="1" applyBorder="1" applyAlignment="1" applyProtection="1">
      <alignment horizontal="center" vertical="center" wrapText="1"/>
    </xf>
    <xf numFmtId="1" fontId="0" fillId="25" borderId="47" xfId="0" applyNumberFormat="1" applyFont="1" applyFill="1" applyBorder="1" applyAlignment="1" applyProtection="1">
      <alignment horizontal="center" vertical="center" wrapText="1"/>
    </xf>
    <xf numFmtId="1" fontId="8" fillId="25" borderId="18" xfId="0" applyNumberFormat="1" applyFont="1" applyFill="1" applyBorder="1" applyAlignment="1" applyProtection="1">
      <alignment horizontal="center" vertical="center" wrapText="1"/>
    </xf>
    <xf numFmtId="1" fontId="8" fillId="25" borderId="31" xfId="0" applyNumberFormat="1" applyFont="1" applyFill="1" applyBorder="1" applyAlignment="1" applyProtection="1">
      <alignment horizontal="center" vertical="center" wrapText="1"/>
    </xf>
    <xf numFmtId="1" fontId="8" fillId="25" borderId="19" xfId="0" applyNumberFormat="1" applyFont="1" applyFill="1" applyBorder="1" applyAlignment="1" applyProtection="1">
      <alignment horizontal="center" vertical="center" wrapText="1"/>
    </xf>
    <xf numFmtId="1" fontId="0" fillId="25" borderId="18" xfId="0" applyNumberFormat="1" applyFont="1" applyFill="1" applyBorder="1" applyAlignment="1" applyProtection="1">
      <alignment horizontal="center" vertical="center" wrapText="1"/>
    </xf>
    <xf numFmtId="1" fontId="0" fillId="25" borderId="31" xfId="0" applyNumberFormat="1" applyFont="1" applyFill="1" applyBorder="1" applyAlignment="1" applyProtection="1">
      <alignment horizontal="center" vertical="center" wrapText="1"/>
    </xf>
    <xf numFmtId="1" fontId="0" fillId="25" borderId="19" xfId="0" applyNumberFormat="1" applyFont="1" applyFill="1" applyBorder="1" applyAlignment="1" applyProtection="1">
      <alignment horizontal="center" vertical="center" wrapText="1"/>
    </xf>
    <xf numFmtId="164" fontId="0" fillId="25" borderId="18" xfId="0" applyNumberFormat="1" applyFont="1" applyFill="1" applyBorder="1" applyAlignment="1" applyProtection="1">
      <alignment horizontal="center" vertical="center" wrapText="1"/>
    </xf>
    <xf numFmtId="164" fontId="0" fillId="25" borderId="31" xfId="0" applyNumberFormat="1" applyFont="1" applyFill="1" applyBorder="1" applyAlignment="1" applyProtection="1">
      <alignment horizontal="center" vertical="center" wrapText="1"/>
    </xf>
    <xf numFmtId="164" fontId="0" fillId="25" borderId="19" xfId="0" applyNumberFormat="1" applyFont="1" applyFill="1" applyBorder="1" applyAlignment="1" applyProtection="1">
      <alignment horizontal="center" vertical="center" wrapText="1"/>
    </xf>
    <xf numFmtId="164" fontId="0" fillId="25" borderId="47" xfId="0" applyNumberFormat="1" applyFont="1" applyFill="1" applyBorder="1" applyAlignment="1" applyProtection="1">
      <alignment horizontal="center" vertical="center" wrapText="1"/>
    </xf>
    <xf numFmtId="164" fontId="0" fillId="25" borderId="46" xfId="0" applyNumberFormat="1" applyFont="1" applyFill="1" applyBorder="1" applyAlignment="1" applyProtection="1">
      <alignment horizontal="center" vertical="center" wrapText="1"/>
    </xf>
    <xf numFmtId="164" fontId="8" fillId="25" borderId="18" xfId="0" applyNumberFormat="1" applyFont="1" applyFill="1" applyBorder="1" applyAlignment="1" applyProtection="1">
      <alignment horizontal="center" vertical="center" wrapText="1"/>
    </xf>
    <xf numFmtId="164" fontId="8" fillId="25" borderId="31" xfId="0" applyNumberFormat="1" applyFont="1" applyFill="1" applyBorder="1" applyAlignment="1" applyProtection="1">
      <alignment horizontal="center" vertical="center" wrapText="1"/>
    </xf>
    <xf numFmtId="164" fontId="8" fillId="25" borderId="19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center" wrapText="1"/>
    </xf>
    <xf numFmtId="0" fontId="0" fillId="31" borderId="16" xfId="0" applyFont="1" applyFill="1" applyBorder="1" applyAlignment="1" applyProtection="1">
      <alignment horizontal="left" vertical="top" wrapText="1"/>
    </xf>
    <xf numFmtId="0" fontId="0" fillId="31" borderId="0" xfId="0" applyFont="1" applyFill="1" applyBorder="1" applyAlignment="1" applyProtection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6" borderId="12" xfId="0" applyFont="1" applyFill="1" applyBorder="1" applyAlignment="1">
      <alignment vertical="top" wrapText="1"/>
    </xf>
    <xf numFmtId="1" fontId="2" fillId="25" borderId="23" xfId="0" applyNumberFormat="1" applyFont="1" applyFill="1" applyBorder="1" applyAlignment="1" applyProtection="1">
      <alignment horizontal="center" vertical="center" wrapText="1"/>
    </xf>
    <xf numFmtId="1" fontId="2" fillId="25" borderId="16" xfId="0" applyNumberFormat="1" applyFont="1" applyFill="1" applyBorder="1" applyAlignment="1" applyProtection="1">
      <alignment horizontal="center" vertical="center" wrapText="1"/>
    </xf>
    <xf numFmtId="1" fontId="2" fillId="25" borderId="40" xfId="0" applyNumberFormat="1" applyFont="1" applyFill="1" applyBorder="1" applyAlignment="1" applyProtection="1">
      <alignment horizontal="center" vertical="top" wrapText="1"/>
    </xf>
    <xf numFmtId="1" fontId="2" fillId="25" borderId="40" xfId="0" applyNumberFormat="1" applyFont="1" applyFill="1" applyBorder="1" applyAlignment="1" applyProtection="1">
      <alignment horizontal="center" vertical="center" wrapText="1"/>
    </xf>
    <xf numFmtId="1" fontId="2" fillId="25" borderId="42" xfId="0" applyNumberFormat="1" applyFont="1" applyFill="1" applyBorder="1" applyAlignment="1" applyProtection="1">
      <alignment horizontal="center" vertical="center" wrapText="1"/>
    </xf>
    <xf numFmtId="1" fontId="2" fillId="25" borderId="22" xfId="0" applyNumberFormat="1" applyFont="1" applyFill="1" applyBorder="1" applyAlignment="1" applyProtection="1">
      <alignment horizontal="center" vertical="center" wrapText="1"/>
    </xf>
    <xf numFmtId="1" fontId="2" fillId="25" borderId="14" xfId="0" applyNumberFormat="1" applyFont="1" applyFill="1" applyBorder="1" applyAlignment="1" applyProtection="1">
      <alignment horizontal="center" vertical="center" wrapText="1"/>
    </xf>
    <xf numFmtId="1" fontId="2" fillId="25" borderId="15" xfId="0" applyNumberFormat="1" applyFont="1" applyFill="1" applyBorder="1" applyAlignment="1" applyProtection="1">
      <alignment horizontal="center" vertical="center" wrapText="1"/>
    </xf>
    <xf numFmtId="1" fontId="2" fillId="25" borderId="17" xfId="0" applyNumberFormat="1" applyFont="1" applyFill="1" applyBorder="1" applyAlignment="1" applyProtection="1">
      <alignment horizontal="center" vertical="top" wrapText="1"/>
    </xf>
    <xf numFmtId="1" fontId="2" fillId="25" borderId="16" xfId="0" applyNumberFormat="1" applyFont="1" applyFill="1" applyBorder="1" applyAlignment="1" applyProtection="1">
      <alignment horizontal="center" vertical="top" wrapText="1"/>
    </xf>
    <xf numFmtId="1" fontId="2" fillId="25" borderId="42" xfId="0" applyNumberFormat="1" applyFont="1" applyFill="1" applyBorder="1" applyAlignment="1" applyProtection="1">
      <alignment horizontal="center" vertical="top" wrapText="1"/>
    </xf>
    <xf numFmtId="1" fontId="2" fillId="25" borderId="17" xfId="0" applyNumberFormat="1" applyFont="1" applyFill="1" applyBorder="1" applyAlignment="1" applyProtection="1">
      <alignment horizontal="center" vertical="center" wrapText="1"/>
    </xf>
    <xf numFmtId="1" fontId="8" fillId="25" borderId="17" xfId="0" applyNumberFormat="1" applyFont="1" applyFill="1" applyBorder="1" applyAlignment="1" applyProtection="1">
      <alignment horizontal="center" vertical="top" wrapText="1"/>
    </xf>
    <xf numFmtId="1" fontId="8" fillId="25" borderId="40" xfId="0" applyNumberFormat="1" applyFont="1" applyFill="1" applyBorder="1" applyAlignment="1" applyProtection="1">
      <alignment horizontal="center" vertical="top" wrapText="1"/>
    </xf>
    <xf numFmtId="1" fontId="8" fillId="25" borderId="42" xfId="0" applyNumberFormat="1" applyFont="1" applyFill="1" applyBorder="1" applyAlignment="1" applyProtection="1">
      <alignment horizontal="center" vertical="top" wrapText="1"/>
    </xf>
    <xf numFmtId="1" fontId="2" fillId="25" borderId="78" xfId="0" applyNumberFormat="1" applyFont="1" applyFill="1" applyBorder="1" applyAlignment="1" applyProtection="1">
      <alignment horizontal="center" vertical="center" wrapText="1"/>
    </xf>
    <xf numFmtId="1" fontId="2" fillId="25" borderId="81" xfId="0" applyNumberFormat="1" applyFont="1" applyFill="1" applyBorder="1" applyAlignment="1" applyProtection="1">
      <alignment horizontal="center" vertical="center" wrapText="1"/>
    </xf>
    <xf numFmtId="0" fontId="2" fillId="31" borderId="16" xfId="0" applyFont="1" applyFill="1" applyBorder="1" applyAlignment="1" applyProtection="1">
      <alignment horizontal="left" vertical="top" wrapText="1"/>
    </xf>
    <xf numFmtId="0" fontId="2" fillId="31" borderId="0" xfId="0" applyFont="1" applyFill="1" applyBorder="1" applyAlignment="1" applyProtection="1">
      <alignment horizontal="left" vertical="top" wrapText="1"/>
    </xf>
    <xf numFmtId="0" fontId="0" fillId="34" borderId="17" xfId="0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1" fontId="2" fillId="25" borderId="41" xfId="0" applyNumberFormat="1" applyFont="1" applyFill="1" applyBorder="1" applyAlignment="1" applyProtection="1">
      <alignment horizontal="center" vertical="center" wrapText="1"/>
    </xf>
    <xf numFmtId="1" fontId="2" fillId="25" borderId="26" xfId="0" applyNumberFormat="1" applyFont="1" applyFill="1" applyBorder="1" applyAlignment="1" applyProtection="1">
      <alignment horizontal="center" vertical="center" wrapText="1"/>
    </xf>
    <xf numFmtId="0" fontId="7" fillId="34" borderId="17" xfId="0" applyFont="1" applyFill="1" applyBorder="1" applyAlignment="1" applyProtection="1">
      <alignment horizontal="left" vertical="top" wrapText="1"/>
    </xf>
    <xf numFmtId="1" fontId="2" fillId="25" borderId="41" xfId="0" applyNumberFormat="1" applyFont="1" applyFill="1" applyBorder="1" applyAlignment="1" applyProtection="1">
      <alignment horizontal="center" vertical="top" wrapText="1"/>
    </xf>
    <xf numFmtId="1" fontId="2" fillId="25" borderId="10" xfId="0" applyNumberFormat="1" applyFont="1" applyFill="1" applyBorder="1" applyAlignment="1" applyProtection="1">
      <alignment horizontal="center" vertical="center" wrapText="1"/>
    </xf>
    <xf numFmtId="1" fontId="2" fillId="25" borderId="30" xfId="0" applyNumberFormat="1" applyFont="1" applyFill="1" applyBorder="1" applyAlignment="1" applyProtection="1">
      <alignment horizontal="center" vertical="center" wrapText="1"/>
    </xf>
    <xf numFmtId="1" fontId="8" fillId="25" borderId="23" xfId="0" applyNumberFormat="1" applyFont="1" applyFill="1" applyBorder="1" applyAlignment="1" applyProtection="1">
      <alignment horizontal="center" vertical="top" wrapText="1"/>
    </xf>
    <xf numFmtId="1" fontId="8" fillId="25" borderId="16" xfId="0" applyNumberFormat="1" applyFont="1" applyFill="1" applyBorder="1" applyAlignment="1" applyProtection="1">
      <alignment horizontal="center" vertical="top" wrapText="1"/>
    </xf>
    <xf numFmtId="1" fontId="8" fillId="25" borderId="10" xfId="0" applyNumberFormat="1" applyFont="1" applyFill="1" applyBorder="1" applyAlignment="1" applyProtection="1">
      <alignment horizontal="center" vertical="top" wrapText="1"/>
    </xf>
    <xf numFmtId="1" fontId="8" fillId="25" borderId="13" xfId="0" applyNumberFormat="1" applyFont="1" applyFill="1" applyBorder="1" applyAlignment="1" applyProtection="1">
      <alignment horizontal="center" vertical="top" wrapText="1"/>
    </xf>
    <xf numFmtId="164" fontId="8" fillId="25" borderId="44" xfId="0" applyNumberFormat="1" applyFont="1" applyFill="1" applyBorder="1" applyAlignment="1" applyProtection="1">
      <alignment horizontal="center" vertical="top" wrapText="1"/>
    </xf>
    <xf numFmtId="164" fontId="8" fillId="25" borderId="27" xfId="0" applyNumberFormat="1" applyFont="1" applyFill="1" applyBorder="1" applyAlignment="1" applyProtection="1">
      <alignment horizontal="center" vertical="top" wrapText="1"/>
    </xf>
    <xf numFmtId="164" fontId="8" fillId="25" borderId="43" xfId="0" applyNumberFormat="1" applyFont="1" applyFill="1" applyBorder="1" applyAlignment="1" applyProtection="1">
      <alignment horizontal="center" vertical="top" wrapText="1"/>
    </xf>
    <xf numFmtId="164" fontId="2" fillId="25" borderId="17" xfId="0" applyNumberFormat="1" applyFont="1" applyFill="1" applyBorder="1" applyAlignment="1" applyProtection="1">
      <alignment horizontal="center" vertical="top" wrapText="1"/>
    </xf>
    <xf numFmtId="164" fontId="2" fillId="25" borderId="40" xfId="0" applyNumberFormat="1" applyFont="1" applyFill="1" applyBorder="1" applyAlignment="1" applyProtection="1">
      <alignment horizontal="center" vertical="top" wrapText="1"/>
    </xf>
    <xf numFmtId="164" fontId="2" fillId="25" borderId="14" xfId="0" applyNumberFormat="1" applyFont="1" applyFill="1" applyBorder="1" applyAlignment="1" applyProtection="1">
      <alignment horizontal="center" vertical="top" wrapText="1"/>
    </xf>
    <xf numFmtId="164" fontId="2" fillId="25" borderId="42" xfId="0" applyNumberFormat="1" applyFont="1" applyFill="1" applyBorder="1" applyAlignment="1" applyProtection="1">
      <alignment horizontal="center" vertical="top" wrapText="1"/>
    </xf>
    <xf numFmtId="164" fontId="2" fillId="25" borderId="41" xfId="0" applyNumberFormat="1" applyFont="1" applyFill="1" applyBorder="1" applyAlignment="1" applyProtection="1">
      <alignment horizontal="center" vertical="top" wrapText="1"/>
    </xf>
    <xf numFmtId="164" fontId="8" fillId="25" borderId="18" xfId="0" applyNumberFormat="1" applyFont="1" applyFill="1" applyBorder="1" applyAlignment="1" applyProtection="1">
      <alignment horizontal="center" vertical="top" wrapText="1"/>
    </xf>
    <xf numFmtId="164" fontId="8" fillId="25" borderId="31" xfId="0" applyNumberFormat="1" applyFont="1" applyFill="1" applyBorder="1" applyAlignment="1" applyProtection="1">
      <alignment horizontal="center" vertical="top" wrapText="1"/>
    </xf>
    <xf numFmtId="164" fontId="8" fillId="25" borderId="19" xfId="0" applyNumberFormat="1" applyFont="1" applyFill="1" applyBorder="1" applyAlignment="1" applyProtection="1">
      <alignment horizontal="center" vertical="top" wrapText="1"/>
    </xf>
    <xf numFmtId="164" fontId="2" fillId="25" borderId="18" xfId="0" applyNumberFormat="1" applyFont="1" applyFill="1" applyBorder="1" applyAlignment="1" applyProtection="1">
      <alignment horizontal="center" vertical="top" wrapText="1"/>
    </xf>
    <xf numFmtId="164" fontId="2" fillId="25" borderId="31" xfId="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center" vertical="top" wrapText="1"/>
    </xf>
    <xf numFmtId="164" fontId="2" fillId="25" borderId="47" xfId="0" applyNumberFormat="1" applyFont="1" applyFill="1" applyBorder="1" applyAlignment="1" applyProtection="1">
      <alignment horizontal="center" vertical="top" wrapText="1"/>
    </xf>
    <xf numFmtId="164" fontId="2" fillId="25" borderId="54" xfId="0" applyNumberFormat="1" applyFont="1" applyFill="1" applyBorder="1" applyAlignment="1" applyProtection="1">
      <alignment horizontal="center" vertical="top" wrapText="1"/>
    </xf>
    <xf numFmtId="1" fontId="2" fillId="25" borderId="18" xfId="0" applyNumberFormat="1" applyFont="1" applyFill="1" applyBorder="1" applyAlignment="1" applyProtection="1">
      <alignment horizontal="center" vertical="top" wrapText="1"/>
    </xf>
    <xf numFmtId="1" fontId="2" fillId="25" borderId="31" xfId="0" applyNumberFormat="1" applyFont="1" applyFill="1" applyBorder="1" applyAlignment="1" applyProtection="1">
      <alignment horizontal="center" vertical="top" wrapText="1"/>
    </xf>
    <xf numFmtId="1" fontId="2" fillId="25" borderId="19" xfId="0" applyNumberFormat="1" applyFont="1" applyFill="1" applyBorder="1" applyAlignment="1" applyProtection="1">
      <alignment horizontal="center" vertical="top" wrapText="1"/>
    </xf>
    <xf numFmtId="0" fontId="0" fillId="42" borderId="13" xfId="0" applyFont="1" applyFill="1" applyBorder="1" applyAlignment="1" applyProtection="1">
      <alignment horizontal="left" vertical="center" wrapText="1"/>
    </xf>
    <xf numFmtId="0" fontId="0" fillId="42" borderId="17" xfId="0" applyFont="1" applyFill="1" applyBorder="1" applyAlignment="1" applyProtection="1">
      <alignment horizontal="left" vertical="center" wrapText="1"/>
    </xf>
    <xf numFmtId="0" fontId="0" fillId="42" borderId="40" xfId="0" applyFont="1" applyFill="1" applyBorder="1" applyAlignment="1" applyProtection="1">
      <alignment horizontal="left" vertical="center" wrapText="1"/>
    </xf>
    <xf numFmtId="0" fontId="0" fillId="42" borderId="42" xfId="0" applyFont="1" applyFill="1" applyBorder="1" applyAlignment="1" applyProtection="1">
      <alignment horizontal="left" vertical="center" wrapText="1"/>
    </xf>
    <xf numFmtId="1" fontId="2" fillId="25" borderId="47" xfId="0" applyNumberFormat="1" applyFont="1" applyFill="1" applyBorder="1" applyAlignment="1" applyProtection="1">
      <alignment horizontal="center" vertical="top" wrapText="1"/>
    </xf>
    <xf numFmtId="1" fontId="2" fillId="25" borderId="46" xfId="0" applyNumberFormat="1" applyFont="1" applyFill="1" applyBorder="1" applyAlignment="1" applyProtection="1">
      <alignment horizontal="center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0" fontId="8" fillId="34" borderId="17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0" fillId="46" borderId="13" xfId="0" applyFont="1" applyFill="1" applyBorder="1" applyAlignment="1" applyProtection="1">
      <alignment horizontal="left" vertical="center" wrapText="1"/>
      <protection locked="0"/>
    </xf>
    <xf numFmtId="1" fontId="8" fillId="25" borderId="18" xfId="0" applyNumberFormat="1" applyFont="1" applyFill="1" applyBorder="1" applyAlignment="1" applyProtection="1">
      <alignment horizontal="center" vertical="top" wrapText="1"/>
    </xf>
    <xf numFmtId="1" fontId="8" fillId="25" borderId="31" xfId="0" applyNumberFormat="1" applyFont="1" applyFill="1" applyBorder="1" applyAlignment="1" applyProtection="1">
      <alignment horizontal="center" vertical="top" wrapText="1"/>
    </xf>
    <xf numFmtId="1" fontId="8" fillId="25" borderId="19" xfId="0" applyNumberFormat="1" applyFont="1" applyFill="1" applyBorder="1" applyAlignment="1" applyProtection="1">
      <alignment horizontal="center" vertical="top" wrapText="1"/>
    </xf>
    <xf numFmtId="0" fontId="3" fillId="28" borderId="17" xfId="0" applyFont="1" applyFill="1" applyBorder="1" applyAlignment="1" applyProtection="1">
      <alignment horizontal="center" vertical="top" wrapText="1"/>
    </xf>
    <xf numFmtId="0" fontId="3" fillId="28" borderId="40" xfId="0" applyFont="1" applyFill="1" applyBorder="1" applyAlignment="1" applyProtection="1">
      <alignment horizontal="center" vertical="top" wrapText="1"/>
    </xf>
    <xf numFmtId="49" fontId="7" fillId="28" borderId="22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center" vertical="top" wrapText="1"/>
    </xf>
    <xf numFmtId="1" fontId="7" fillId="28" borderId="23" xfId="0" applyNumberFormat="1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horizontal="center" vertical="top" wrapText="1"/>
    </xf>
    <xf numFmtId="1" fontId="3" fillId="28" borderId="22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1" fontId="3" fillId="28" borderId="45" xfId="0" applyNumberFormat="1" applyFont="1" applyFill="1" applyBorder="1" applyAlignment="1" applyProtection="1">
      <alignment horizontal="center" vertical="top" wrapText="1"/>
    </xf>
    <xf numFmtId="1" fontId="3" fillId="28" borderId="11" xfId="0" applyNumberFormat="1" applyFont="1" applyFill="1" applyBorder="1" applyAlignment="1" applyProtection="1">
      <alignment horizontal="center" vertical="top" wrapText="1"/>
    </xf>
    <xf numFmtId="1" fontId="3" fillId="28" borderId="23" xfId="0" applyNumberFormat="1" applyFont="1" applyFill="1" applyBorder="1" applyAlignment="1" applyProtection="1">
      <alignment horizontal="center" vertical="top" wrapText="1"/>
    </xf>
    <xf numFmtId="1" fontId="3" fillId="28" borderId="10" xfId="0" applyNumberFormat="1" applyFont="1" applyFill="1" applyBorder="1" applyAlignment="1" applyProtection="1">
      <alignment horizontal="center" vertical="top" wrapText="1"/>
    </xf>
    <xf numFmtId="0" fontId="3" fillId="28" borderId="42" xfId="0" applyFont="1" applyFill="1" applyBorder="1" applyAlignment="1" applyProtection="1">
      <alignment horizontal="center" vertical="top" wrapText="1"/>
    </xf>
    <xf numFmtId="49" fontId="3" fillId="28" borderId="24" xfId="0" applyNumberFormat="1" applyFont="1" applyFill="1" applyBorder="1" applyAlignment="1" applyProtection="1">
      <alignment horizontal="center" textRotation="90" wrapText="1"/>
    </xf>
    <xf numFmtId="49" fontId="3" fillId="28" borderId="48" xfId="0" applyNumberFormat="1" applyFont="1" applyFill="1" applyBorder="1" applyAlignment="1" applyProtection="1">
      <alignment horizontal="center" textRotation="90" wrapText="1"/>
    </xf>
    <xf numFmtId="49" fontId="43" fillId="37" borderId="33" xfId="0" applyNumberFormat="1" applyFont="1" applyFill="1" applyBorder="1" applyAlignment="1" applyProtection="1">
      <alignment horizontal="center" vertical="center" textRotation="90" wrapText="1"/>
    </xf>
    <xf numFmtId="49" fontId="43" fillId="37" borderId="52" xfId="0" applyNumberFormat="1" applyFont="1" applyFill="1" applyBorder="1" applyAlignment="1" applyProtection="1">
      <alignment horizontal="center" vertical="center" textRotation="90" wrapText="1"/>
    </xf>
    <xf numFmtId="49" fontId="43" fillId="37" borderId="36" xfId="0" applyNumberFormat="1" applyFont="1" applyFill="1" applyBorder="1" applyAlignment="1" applyProtection="1">
      <alignment horizontal="center" vertical="center" textRotation="90" wrapText="1"/>
    </xf>
    <xf numFmtId="49" fontId="3" fillId="28" borderId="24" xfId="0" applyNumberFormat="1" applyFont="1" applyFill="1" applyBorder="1" applyAlignment="1" applyProtection="1">
      <alignment horizontal="center" vertical="top" wrapText="1"/>
    </xf>
    <xf numFmtId="49" fontId="3" fillId="28" borderId="48" xfId="0" applyNumberFormat="1" applyFont="1" applyFill="1" applyBorder="1" applyAlignment="1" applyProtection="1">
      <alignment horizontal="center" vertical="top" wrapText="1"/>
    </xf>
    <xf numFmtId="49" fontId="3" fillId="28" borderId="12" xfId="0" applyNumberFormat="1" applyFont="1" applyFill="1" applyBorder="1" applyAlignment="1" applyProtection="1">
      <alignment horizontal="center" vertical="top" wrapText="1"/>
    </xf>
    <xf numFmtId="0" fontId="3" fillId="28" borderId="14" xfId="0" applyFont="1" applyFill="1" applyBorder="1" applyAlignment="1" applyProtection="1">
      <alignment horizontal="center" vertical="top" wrapText="1"/>
    </xf>
    <xf numFmtId="0" fontId="3" fillId="34" borderId="22" xfId="0" applyNumberFormat="1" applyFont="1" applyFill="1" applyBorder="1" applyAlignment="1" applyProtection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left" vertical="center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3" fillId="28" borderId="23" xfId="0" applyNumberFormat="1" applyFont="1" applyFill="1" applyBorder="1" applyAlignment="1" applyProtection="1">
      <alignment horizontal="center" vertical="top" wrapText="1"/>
    </xf>
    <xf numFmtId="49" fontId="3" fillId="28" borderId="87" xfId="0" applyNumberFormat="1" applyFont="1" applyFill="1" applyBorder="1" applyAlignment="1" applyProtection="1">
      <alignment horizontal="center" vertical="top" wrapText="1"/>
    </xf>
    <xf numFmtId="49" fontId="3" fillId="28" borderId="34" xfId="0" applyNumberFormat="1" applyFont="1" applyFill="1" applyBorder="1" applyAlignment="1" applyProtection="1">
      <alignment horizontal="center" vertical="top" wrapText="1"/>
    </xf>
    <xf numFmtId="49" fontId="3" fillId="28" borderId="30" xfId="0" applyNumberFormat="1" applyFont="1" applyFill="1" applyBorder="1" applyAlignment="1" applyProtection="1">
      <alignment horizontal="center" vertical="top" wrapText="1"/>
    </xf>
    <xf numFmtId="49" fontId="3" fillId="28" borderId="35" xfId="0" applyNumberFormat="1" applyFont="1" applyFill="1" applyBorder="1" applyAlignment="1" applyProtection="1">
      <alignment horizontal="center" vertical="top" wrapText="1"/>
    </xf>
    <xf numFmtId="49" fontId="3" fillId="28" borderId="36" xfId="0" applyNumberFormat="1" applyFont="1" applyFill="1" applyBorder="1" applyAlignment="1" applyProtection="1">
      <alignment horizontal="center" vertical="top" wrapText="1"/>
    </xf>
    <xf numFmtId="0" fontId="3" fillId="28" borderId="24" xfId="0" applyFont="1" applyFill="1" applyBorder="1" applyAlignment="1" applyProtection="1">
      <alignment horizontal="center" vertical="top" wrapText="1"/>
    </xf>
    <xf numFmtId="0" fontId="3" fillId="28" borderId="48" xfId="0" applyFont="1" applyFill="1" applyBorder="1" applyAlignment="1" applyProtection="1">
      <alignment horizontal="center" vertical="top" wrapText="1"/>
    </xf>
    <xf numFmtId="0" fontId="3" fillId="28" borderId="12" xfId="0" applyFont="1" applyFill="1" applyBorder="1" applyAlignment="1" applyProtection="1">
      <alignment horizontal="center" vertical="top" wrapText="1"/>
    </xf>
    <xf numFmtId="0" fontId="3" fillId="34" borderId="23" xfId="0" applyNumberFormat="1" applyFont="1" applyFill="1" applyBorder="1" applyAlignment="1" applyProtection="1">
      <alignment horizontal="left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3" fillId="28" borderId="71" xfId="0" applyFont="1" applyFill="1" applyBorder="1" applyAlignment="1" applyProtection="1">
      <alignment horizontal="center" vertical="top" wrapText="1"/>
    </xf>
    <xf numFmtId="0" fontId="3" fillId="28" borderId="11" xfId="0" applyFont="1" applyFill="1" applyBorder="1" applyAlignment="1" applyProtection="1">
      <alignment horizontal="center" vertical="top" wrapText="1"/>
    </xf>
    <xf numFmtId="0" fontId="3" fillId="28" borderId="65" xfId="0" applyFont="1" applyFill="1" applyBorder="1" applyAlignment="1" applyProtection="1">
      <alignment horizontal="center" vertical="top" wrapText="1"/>
    </xf>
    <xf numFmtId="49" fontId="3" fillId="28" borderId="22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49" fontId="3" fillId="28" borderId="1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3" fillId="28" borderId="80" xfId="0" applyNumberFormat="1" applyFont="1" applyFill="1" applyBorder="1" applyAlignment="1" applyProtection="1">
      <alignment horizontal="center" vertical="top" wrapText="1"/>
    </xf>
    <xf numFmtId="49" fontId="3" fillId="28" borderId="82" xfId="0" applyNumberFormat="1" applyFont="1" applyFill="1" applyBorder="1" applyAlignment="1" applyProtection="1">
      <alignment horizontal="center" vertical="top" wrapText="1"/>
    </xf>
    <xf numFmtId="49" fontId="3" fillId="28" borderId="83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49" fontId="3" fillId="28" borderId="44" xfId="0" applyNumberFormat="1" applyFont="1" applyFill="1" applyBorder="1" applyAlignment="1" applyProtection="1">
      <alignment horizontal="center" vertical="top" wrapText="1"/>
    </xf>
    <xf numFmtId="49" fontId="3" fillId="28" borderId="32" xfId="0" applyNumberFormat="1" applyFont="1" applyFill="1" applyBorder="1" applyAlignment="1" applyProtection="1">
      <alignment horizontal="center" vertical="top" wrapText="1"/>
    </xf>
    <xf numFmtId="0" fontId="9" fillId="31" borderId="17" xfId="0" applyFont="1" applyFill="1" applyBorder="1" applyAlignment="1" applyProtection="1">
      <alignment horizontal="center" vertical="top" wrapText="1"/>
    </xf>
    <xf numFmtId="0" fontId="9" fillId="31" borderId="42" xfId="0" applyFont="1" applyFill="1" applyBorder="1" applyAlignment="1" applyProtection="1">
      <alignment horizontal="center" vertical="top" wrapText="1"/>
    </xf>
    <xf numFmtId="164" fontId="9" fillId="31" borderId="17" xfId="0" applyNumberFormat="1" applyFont="1" applyFill="1" applyBorder="1" applyAlignment="1" applyProtection="1">
      <alignment horizontal="center" vertical="top" wrapText="1"/>
    </xf>
    <xf numFmtId="164" fontId="9" fillId="31" borderId="42" xfId="0" applyNumberFormat="1" applyFont="1" applyFill="1" applyBorder="1" applyAlignment="1" applyProtection="1">
      <alignment horizontal="center" vertical="top" wrapText="1"/>
    </xf>
    <xf numFmtId="49" fontId="0" fillId="27" borderId="17" xfId="36" applyNumberFormat="1" applyFont="1" applyFill="1" applyBorder="1" applyAlignment="1" applyProtection="1">
      <alignment horizontal="left" vertical="top" wrapText="1"/>
    </xf>
    <xf numFmtId="49" fontId="7" fillId="27" borderId="40" xfId="36" applyNumberFormat="1" applyFont="1" applyFill="1" applyBorder="1" applyAlignment="1" applyProtection="1">
      <alignment horizontal="left" vertical="top" wrapText="1"/>
    </xf>
    <xf numFmtId="49" fontId="7" fillId="27" borderId="42" xfId="36" applyNumberFormat="1" applyFont="1" applyFill="1" applyBorder="1" applyAlignment="1" applyProtection="1">
      <alignment horizontal="left" vertical="top" wrapText="1"/>
    </xf>
    <xf numFmtId="49" fontId="7" fillId="27" borderId="17" xfId="36" applyNumberFormat="1" applyFont="1" applyFill="1" applyBorder="1" applyAlignment="1" applyProtection="1">
      <alignment horizontal="left" vertical="top" wrapText="1"/>
    </xf>
    <xf numFmtId="49" fontId="7" fillId="26" borderId="17" xfId="36" applyNumberFormat="1" applyFont="1" applyFill="1" applyBorder="1" applyAlignment="1" applyProtection="1">
      <alignment horizontal="left" vertical="top" wrapText="1"/>
    </xf>
    <xf numFmtId="49" fontId="7" fillId="26" borderId="40" xfId="36" applyNumberFormat="1" applyFont="1" applyFill="1" applyBorder="1" applyAlignment="1" applyProtection="1">
      <alignment horizontal="left" vertical="top" wrapText="1"/>
    </xf>
    <xf numFmtId="49" fontId="7" fillId="26" borderId="42" xfId="36" applyNumberFormat="1" applyFont="1" applyFill="1" applyBorder="1" applyAlignment="1" applyProtection="1">
      <alignment horizontal="left" vertical="top" wrapText="1"/>
    </xf>
    <xf numFmtId="0" fontId="7" fillId="29" borderId="17" xfId="36" applyFont="1" applyFill="1" applyBorder="1" applyAlignment="1" applyProtection="1">
      <alignment vertical="top" wrapText="1"/>
    </xf>
    <xf numFmtId="0" fontId="7" fillId="29" borderId="40" xfId="36" applyFont="1" applyFill="1" applyBorder="1" applyAlignment="1" applyProtection="1">
      <alignment vertical="top" wrapText="1"/>
    </xf>
    <xf numFmtId="0" fontId="7" fillId="29" borderId="42" xfId="36" applyFont="1" applyFill="1" applyBorder="1" applyAlignment="1" applyProtection="1">
      <alignment vertical="top" wrapText="1"/>
    </xf>
    <xf numFmtId="0" fontId="0" fillId="27" borderId="17" xfId="36" applyFont="1" applyFill="1" applyBorder="1" applyAlignment="1" applyProtection="1">
      <alignment vertical="top" wrapText="1"/>
    </xf>
    <xf numFmtId="0" fontId="7" fillId="27" borderId="40" xfId="36" applyFont="1" applyFill="1" applyBorder="1" applyAlignment="1" applyProtection="1">
      <alignment vertical="top" wrapText="1"/>
    </xf>
    <xf numFmtId="0" fontId="7" fillId="27" borderId="42" xfId="36" applyFont="1" applyFill="1" applyBorder="1" applyAlignment="1" applyProtection="1">
      <alignment vertical="top" wrapText="1"/>
    </xf>
    <xf numFmtId="0" fontId="7" fillId="27" borderId="17" xfId="36" applyFont="1" applyFill="1" applyBorder="1" applyAlignment="1" applyProtection="1">
      <alignment vertical="top" wrapText="1"/>
    </xf>
    <xf numFmtId="49" fontId="34" fillId="27" borderId="13" xfId="36" applyNumberFormat="1" applyFont="1" applyFill="1" applyBorder="1" applyAlignment="1" applyProtection="1">
      <alignment horizontal="center" vertical="top" wrapText="1" shrinkToFit="1"/>
    </xf>
    <xf numFmtId="0" fontId="8" fillId="0" borderId="16" xfId="36" applyFont="1" applyFill="1" applyBorder="1" applyAlignment="1" applyProtection="1">
      <alignment horizontal="center" vertical="top" wrapText="1"/>
    </xf>
    <xf numFmtId="0" fontId="34" fillId="27" borderId="17" xfId="36" applyFont="1" applyFill="1" applyBorder="1" applyAlignment="1" applyProtection="1">
      <alignment horizontal="left" vertical="top" wrapText="1" shrinkToFit="1"/>
    </xf>
    <xf numFmtId="0" fontId="34" fillId="27" borderId="40" xfId="36" applyFont="1" applyFill="1" applyBorder="1" applyAlignment="1" applyProtection="1">
      <alignment horizontal="left" vertical="top" wrapText="1" shrinkToFit="1"/>
    </xf>
    <xf numFmtId="49" fontId="34" fillId="27" borderId="23" xfId="36" applyNumberFormat="1" applyFont="1" applyFill="1" applyBorder="1" applyAlignment="1" applyProtection="1">
      <alignment horizontal="left" vertical="top" wrapText="1" shrinkToFit="1"/>
    </xf>
    <xf numFmtId="49" fontId="34" fillId="27" borderId="16" xfId="36" applyNumberFormat="1" applyFont="1" applyFill="1" applyBorder="1" applyAlignment="1" applyProtection="1">
      <alignment horizontal="left" vertical="top" wrapText="1" shrinkToFit="1"/>
    </xf>
    <xf numFmtId="0" fontId="40" fillId="31" borderId="17" xfId="0" applyFont="1" applyFill="1" applyBorder="1" applyAlignment="1" applyProtection="1">
      <alignment horizontal="center" vertical="top" wrapText="1"/>
    </xf>
    <xf numFmtId="0" fontId="40" fillId="31" borderId="42" xfId="0" applyFont="1" applyFill="1" applyBorder="1" applyAlignment="1" applyProtection="1">
      <alignment horizontal="center" vertical="top" wrapText="1"/>
    </xf>
    <xf numFmtId="0" fontId="34" fillId="24" borderId="17" xfId="36" applyFont="1" applyFill="1" applyBorder="1" applyAlignment="1" applyProtection="1">
      <alignment horizontal="center" vertical="top" wrapText="1"/>
    </xf>
    <xf numFmtId="0" fontId="34" fillId="24" borderId="40" xfId="36" applyFont="1" applyFill="1" applyBorder="1" applyAlignment="1" applyProtection="1">
      <alignment horizontal="center" vertical="top" wrapText="1"/>
    </xf>
    <xf numFmtId="0" fontId="34" fillId="24" borderId="42" xfId="36" applyFont="1" applyFill="1" applyBorder="1" applyAlignment="1" applyProtection="1">
      <alignment horizontal="center" vertical="top" wrapText="1"/>
    </xf>
    <xf numFmtId="0" fontId="8" fillId="0" borderId="0" xfId="36" applyFont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4" borderId="17" xfId="36" applyNumberFormat="1" applyFont="1" applyFill="1" applyBorder="1" applyAlignment="1" applyProtection="1">
      <alignment horizontal="center" vertical="top" wrapText="1" shrinkToFit="1"/>
    </xf>
    <xf numFmtId="49" fontId="34" fillId="24" borderId="42" xfId="36" applyNumberFormat="1" applyFont="1" applyFill="1" applyBorder="1" applyAlignment="1" applyProtection="1">
      <alignment horizontal="center" vertical="top" wrapText="1" shrinkToFit="1"/>
    </xf>
    <xf numFmtId="0" fontId="34" fillId="24" borderId="22" xfId="36" applyFont="1" applyFill="1" applyBorder="1" applyAlignment="1" applyProtection="1">
      <alignment horizontal="center" vertical="top" wrapText="1"/>
    </xf>
    <xf numFmtId="0" fontId="34" fillId="24" borderId="14" xfId="36" applyFont="1" applyFill="1" applyBorder="1" applyAlignment="1" applyProtection="1">
      <alignment horizontal="center" vertical="top" wrapText="1"/>
    </xf>
    <xf numFmtId="0" fontId="34" fillId="24" borderId="15" xfId="36" applyFont="1" applyFill="1" applyBorder="1" applyAlignment="1" applyProtection="1">
      <alignment horizontal="center" vertical="top" wrapText="1"/>
    </xf>
    <xf numFmtId="0" fontId="34" fillId="24" borderId="23" xfId="36" applyFont="1" applyFill="1" applyBorder="1" applyAlignment="1" applyProtection="1">
      <alignment horizontal="center" vertical="top" wrapText="1"/>
    </xf>
    <xf numFmtId="0" fontId="34" fillId="24" borderId="16" xfId="36" applyFont="1" applyFill="1" applyBorder="1" applyAlignment="1" applyProtection="1">
      <alignment horizontal="center" vertical="top" wrapText="1"/>
    </xf>
    <xf numFmtId="0" fontId="34" fillId="24" borderId="10" xfId="36" applyFont="1" applyFill="1" applyBorder="1" applyAlignment="1" applyProtection="1">
      <alignment horizontal="center" vertical="top" wrapText="1"/>
    </xf>
    <xf numFmtId="0" fontId="5" fillId="27" borderId="23" xfId="36" applyNumberFormat="1" applyFont="1" applyFill="1" applyBorder="1" applyAlignment="1" applyProtection="1">
      <alignment horizontal="left" vertical="center"/>
    </xf>
    <xf numFmtId="0" fontId="5" fillId="27" borderId="16" xfId="36" applyNumberFormat="1" applyFont="1" applyFill="1" applyBorder="1" applyAlignment="1" applyProtection="1">
      <alignment horizontal="left" vertical="center"/>
    </xf>
    <xf numFmtId="0" fontId="7" fillId="32" borderId="17" xfId="36" applyNumberFormat="1" applyFont="1" applyFill="1" applyBorder="1" applyAlignment="1" applyProtection="1">
      <alignment horizontal="center" vertical="top" wrapText="1"/>
    </xf>
    <xf numFmtId="0" fontId="7" fillId="32" borderId="40" xfId="36" applyNumberFormat="1" applyFont="1" applyFill="1" applyBorder="1" applyAlignment="1" applyProtection="1">
      <alignment horizontal="center" vertical="top" wrapText="1"/>
    </xf>
    <xf numFmtId="0" fontId="7" fillId="32" borderId="42" xfId="36" applyNumberFormat="1" applyFont="1" applyFill="1" applyBorder="1" applyAlignment="1" applyProtection="1">
      <alignment horizontal="center" vertical="top" wrapText="1"/>
    </xf>
    <xf numFmtId="14" fontId="7" fillId="32" borderId="17" xfId="36" applyNumberFormat="1" applyFont="1" applyFill="1" applyBorder="1" applyAlignment="1" applyProtection="1">
      <alignment horizontal="center" vertical="top" wrapText="1"/>
    </xf>
    <xf numFmtId="14" fontId="7" fillId="32" borderId="40" xfId="36" applyNumberFormat="1" applyFont="1" applyFill="1" applyBorder="1" applyAlignment="1" applyProtection="1">
      <alignment horizontal="center" vertical="top" wrapText="1"/>
    </xf>
    <xf numFmtId="14" fontId="7" fillId="32" borderId="42" xfId="36" applyNumberFormat="1" applyFont="1" applyFill="1" applyBorder="1" applyAlignment="1" applyProtection="1">
      <alignment horizontal="center" vertical="top" wrapText="1"/>
    </xf>
    <xf numFmtId="0" fontId="34" fillId="0" borderId="17" xfId="36" applyFont="1" applyFill="1" applyBorder="1" applyAlignment="1" applyProtection="1">
      <alignment horizontal="center" vertical="top" wrapText="1" shrinkToFit="1"/>
    </xf>
    <xf numFmtId="0" fontId="34" fillId="0" borderId="40" xfId="36" applyFont="1" applyFill="1" applyBorder="1" applyAlignment="1" applyProtection="1">
      <alignment horizontal="center" vertical="top" wrapText="1" shrinkToFit="1"/>
    </xf>
    <xf numFmtId="0" fontId="34" fillId="0" borderId="42" xfId="36" applyFont="1" applyFill="1" applyBorder="1" applyAlignment="1" applyProtection="1">
      <alignment horizontal="center" vertical="top" wrapText="1" shrinkToFit="1"/>
    </xf>
    <xf numFmtId="49" fontId="34" fillId="27" borderId="22" xfId="36" applyNumberFormat="1" applyFont="1" applyFill="1" applyBorder="1" applyAlignment="1" applyProtection="1">
      <alignment horizontal="left" vertical="top" wrapText="1" shrinkToFit="1"/>
    </xf>
    <xf numFmtId="49" fontId="34" fillId="27" borderId="14" xfId="36" applyNumberFormat="1" applyFont="1" applyFill="1" applyBorder="1" applyAlignment="1" applyProtection="1">
      <alignment horizontal="left" vertical="top" wrapText="1" shrinkToFit="1"/>
    </xf>
    <xf numFmtId="0" fontId="0" fillId="27" borderId="17" xfId="36" applyFont="1" applyFill="1" applyBorder="1" applyAlignment="1" applyProtection="1">
      <alignment horizontal="left" vertical="top" wrapText="1" shrinkToFit="1"/>
    </xf>
    <xf numFmtId="0" fontId="34" fillId="27" borderId="42" xfId="36" applyFont="1" applyFill="1" applyBorder="1" applyAlignment="1" applyProtection="1">
      <alignment horizontal="left" vertical="top" wrapText="1" shrinkToFit="1"/>
    </xf>
    <xf numFmtId="0" fontId="8" fillId="24" borderId="13" xfId="36" applyFont="1" applyFill="1" applyBorder="1" applyAlignment="1" applyProtection="1">
      <alignment horizontal="center" vertical="top" wrapText="1"/>
    </xf>
    <xf numFmtId="0" fontId="34" fillId="0" borderId="13" xfId="36" applyFont="1" applyFill="1" applyBorder="1" applyAlignment="1" applyProtection="1">
      <alignment horizontal="left" vertical="top" wrapText="1" shrinkToFit="1"/>
      <protection locked="0"/>
    </xf>
    <xf numFmtId="0" fontId="8" fillId="24" borderId="13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28" borderId="24" xfId="0" applyFont="1" applyFill="1" applyBorder="1" applyAlignment="1" applyProtection="1">
      <alignment horizontal="center" textRotation="90" wrapText="1"/>
    </xf>
    <xf numFmtId="0" fontId="3" fillId="28" borderId="48" xfId="0" applyFont="1" applyFill="1" applyBorder="1" applyAlignment="1" applyProtection="1">
      <alignment horizontal="center" textRotation="90" wrapText="1"/>
    </xf>
    <xf numFmtId="0" fontId="3" fillId="28" borderId="12" xfId="0" applyFont="1" applyFill="1" applyBorder="1" applyAlignment="1" applyProtection="1">
      <alignment horizontal="center" textRotation="90" wrapText="1"/>
    </xf>
    <xf numFmtId="0" fontId="3" fillId="28" borderId="22" xfId="0" applyFont="1" applyFill="1" applyBorder="1" applyAlignment="1" applyProtection="1">
      <alignment horizontal="center" vertical="top" wrapText="1"/>
    </xf>
    <xf numFmtId="0" fontId="3" fillId="28" borderId="45" xfId="0" applyFont="1" applyFill="1" applyBorder="1" applyAlignment="1" applyProtection="1">
      <alignment horizontal="center" vertical="top" wrapText="1"/>
    </xf>
    <xf numFmtId="0" fontId="3" fillId="28" borderId="23" xfId="0" applyFont="1" applyFill="1" applyBorder="1" applyAlignment="1" applyProtection="1">
      <alignment horizontal="center" vertical="top" wrapText="1"/>
    </xf>
    <xf numFmtId="0" fontId="3" fillId="28" borderId="67" xfId="0" applyFont="1" applyFill="1" applyBorder="1" applyAlignment="1" applyProtection="1">
      <alignment horizontal="center" vertical="center" wrapText="1"/>
    </xf>
    <xf numFmtId="0" fontId="3" fillId="28" borderId="63" xfId="0" applyFont="1" applyFill="1" applyBorder="1" applyAlignment="1" applyProtection="1">
      <alignment horizontal="center" vertical="center" wrapText="1"/>
    </xf>
    <xf numFmtId="0" fontId="3" fillId="28" borderId="77" xfId="0" applyFont="1" applyFill="1" applyBorder="1" applyAlignment="1" applyProtection="1">
      <alignment horizontal="center" vertical="center" wrapText="1"/>
    </xf>
    <xf numFmtId="49" fontId="3" fillId="28" borderId="72" xfId="0" applyNumberFormat="1" applyFont="1" applyFill="1" applyBorder="1" applyAlignment="1" applyProtection="1">
      <alignment horizontal="center" vertical="top" wrapText="1"/>
    </xf>
    <xf numFmtId="49" fontId="3" fillId="28" borderId="79" xfId="0" applyNumberFormat="1" applyFont="1" applyFill="1" applyBorder="1" applyAlignment="1" applyProtection="1">
      <alignment horizontal="center" vertical="top" wrapText="1"/>
    </xf>
    <xf numFmtId="1" fontId="3" fillId="28" borderId="83" xfId="0" applyNumberFormat="1" applyFont="1" applyFill="1" applyBorder="1" applyAlignment="1" applyProtection="1">
      <alignment horizontal="center" vertical="top" wrapText="1"/>
    </xf>
    <xf numFmtId="1" fontId="3" fillId="28" borderId="80" xfId="0" applyNumberFormat="1" applyFont="1" applyFill="1" applyBorder="1" applyAlignment="1" applyProtection="1">
      <alignment horizontal="center" vertical="top" wrapText="1"/>
    </xf>
    <xf numFmtId="1" fontId="3" fillId="28" borderId="52" xfId="0" applyNumberFormat="1" applyFont="1" applyFill="1" applyBorder="1" applyAlignment="1" applyProtection="1">
      <alignment horizontal="center" vertical="top" wrapText="1"/>
    </xf>
    <xf numFmtId="1" fontId="3" fillId="28" borderId="49" xfId="0" applyNumberFormat="1" applyFont="1" applyFill="1" applyBorder="1" applyAlignment="1" applyProtection="1">
      <alignment horizontal="center" vertical="top" wrapText="1"/>
    </xf>
    <xf numFmtId="1" fontId="3" fillId="28" borderId="36" xfId="0" applyNumberFormat="1" applyFont="1" applyFill="1" applyBorder="1" applyAlignment="1" applyProtection="1">
      <alignment horizontal="center" vertical="top" wrapText="1"/>
    </xf>
    <xf numFmtId="1" fontId="3" fillId="28" borderId="30" xfId="0" applyNumberFormat="1" applyFont="1" applyFill="1" applyBorder="1" applyAlignment="1" applyProtection="1">
      <alignment horizontal="center" vertical="top" wrapText="1"/>
    </xf>
    <xf numFmtId="0" fontId="3" fillId="28" borderId="26" xfId="0" applyFont="1" applyFill="1" applyBorder="1" applyAlignment="1" applyProtection="1">
      <alignment horizontal="center" vertical="top" wrapText="1"/>
    </xf>
    <xf numFmtId="0" fontId="3" fillId="28" borderId="49" xfId="0" applyFont="1" applyFill="1" applyBorder="1" applyAlignment="1" applyProtection="1">
      <alignment horizontal="center" vertical="top" wrapText="1"/>
    </xf>
    <xf numFmtId="49" fontId="3" fillId="28" borderId="12" xfId="0" applyNumberFormat="1" applyFont="1" applyFill="1" applyBorder="1" applyAlignment="1" applyProtection="1">
      <alignment horizontal="center" textRotation="90" wrapText="1"/>
    </xf>
    <xf numFmtId="0" fontId="8" fillId="37" borderId="67" xfId="0" applyFont="1" applyFill="1" applyBorder="1" applyAlignment="1" applyProtection="1">
      <alignment horizontal="left" vertical="center" wrapText="1"/>
    </xf>
    <xf numFmtId="0" fontId="8" fillId="37" borderId="65" xfId="0" applyFont="1" applyFill="1" applyBorder="1" applyAlignment="1" applyProtection="1">
      <alignment horizontal="left" vertical="center" wrapText="1"/>
    </xf>
    <xf numFmtId="0" fontId="8" fillId="37" borderId="62" xfId="0" applyFont="1" applyFill="1" applyBorder="1" applyAlignment="1" applyProtection="1">
      <alignment horizontal="left" vertical="center" wrapText="1"/>
    </xf>
    <xf numFmtId="0" fontId="8" fillId="37" borderId="57" xfId="0" applyFont="1" applyFill="1" applyBorder="1" applyAlignment="1" applyProtection="1">
      <alignment horizontal="left" vertical="center" wrapText="1"/>
    </xf>
    <xf numFmtId="0" fontId="3" fillId="28" borderId="25" xfId="0" applyFont="1" applyFill="1" applyBorder="1" applyAlignment="1" applyProtection="1">
      <alignment horizontal="center" vertical="top" wrapText="1"/>
    </xf>
    <xf numFmtId="0" fontId="3" fillId="28" borderId="63" xfId="0" applyFont="1" applyFill="1" applyBorder="1" applyAlignment="1" applyProtection="1">
      <alignment horizontal="center" vertical="top" wrapText="1"/>
    </xf>
    <xf numFmtId="0" fontId="0" fillId="37" borderId="62" xfId="0" applyFill="1" applyBorder="1" applyAlignment="1" applyProtection="1">
      <alignment horizontal="left" vertical="center" wrapText="1"/>
      <protection locked="0"/>
    </xf>
    <xf numFmtId="0" fontId="0" fillId="37" borderId="57" xfId="0" applyFill="1" applyBorder="1" applyAlignment="1" applyProtection="1">
      <alignment horizontal="left" vertical="center" wrapText="1"/>
      <protection locked="0"/>
    </xf>
    <xf numFmtId="0" fontId="0" fillId="37" borderId="58" xfId="0" applyFill="1" applyBorder="1" applyAlignment="1" applyProtection="1">
      <alignment horizontal="left" vertical="center" wrapText="1"/>
      <protection locked="0"/>
    </xf>
    <xf numFmtId="0" fontId="0" fillId="37" borderId="62" xfId="0" applyFont="1" applyFill="1" applyBorder="1" applyAlignment="1" applyProtection="1">
      <alignment horizontal="left" vertical="center" wrapText="1"/>
      <protection locked="0"/>
    </xf>
    <xf numFmtId="0" fontId="0" fillId="37" borderId="57" xfId="0" applyFont="1" applyFill="1" applyBorder="1" applyAlignment="1" applyProtection="1">
      <alignment horizontal="left" vertical="center" wrapText="1"/>
      <protection locked="0"/>
    </xf>
    <xf numFmtId="0" fontId="0" fillId="37" borderId="58" xfId="0" applyFont="1" applyFill="1" applyBorder="1" applyAlignment="1" applyProtection="1">
      <alignment horizontal="left" vertical="center" wrapText="1"/>
      <protection locked="0"/>
    </xf>
    <xf numFmtId="0" fontId="0" fillId="37" borderId="83" xfId="0" applyFill="1" applyBorder="1" applyAlignment="1" applyProtection="1">
      <alignment horizontal="left" vertical="center" wrapText="1"/>
      <protection locked="0"/>
    </xf>
    <xf numFmtId="0" fontId="0" fillId="37" borderId="79" xfId="0" applyFill="1" applyBorder="1" applyAlignment="1" applyProtection="1">
      <alignment horizontal="left" vertical="center" wrapText="1"/>
      <protection locked="0"/>
    </xf>
    <xf numFmtId="0" fontId="0" fillId="37" borderId="80" xfId="0" applyFill="1" applyBorder="1" applyAlignment="1" applyProtection="1">
      <alignment horizontal="left" vertical="center" wrapText="1"/>
      <protection locked="0"/>
    </xf>
    <xf numFmtId="0" fontId="8" fillId="30" borderId="62" xfId="0" applyFont="1" applyFill="1" applyBorder="1" applyAlignment="1" applyProtection="1">
      <alignment horizontal="left" vertical="center" wrapText="1"/>
    </xf>
    <xf numFmtId="0" fontId="8" fillId="30" borderId="57" xfId="0" applyFont="1" applyFill="1" applyBorder="1" applyAlignment="1" applyProtection="1">
      <alignment horizontal="left" vertical="center" wrapText="1"/>
    </xf>
    <xf numFmtId="0" fontId="8" fillId="37" borderId="36" xfId="0" applyFont="1" applyFill="1" applyBorder="1" applyAlignment="1" applyProtection="1">
      <alignment horizontal="left" vertical="center" wrapText="1"/>
    </xf>
    <xf numFmtId="0" fontId="8" fillId="37" borderId="16" xfId="0" applyFont="1" applyFill="1" applyBorder="1" applyAlignment="1" applyProtection="1">
      <alignment horizontal="left" vertical="center" wrapText="1"/>
    </xf>
    <xf numFmtId="0" fontId="8" fillId="37" borderId="53" xfId="0" applyFont="1" applyFill="1" applyBorder="1" applyAlignment="1" applyProtection="1">
      <alignment horizontal="left" vertical="center" wrapText="1"/>
    </xf>
    <xf numFmtId="0" fontId="8" fillId="37" borderId="40" xfId="0" applyFont="1" applyFill="1" applyBorder="1" applyAlignment="1" applyProtection="1">
      <alignment horizontal="left" vertical="center" wrapText="1"/>
    </xf>
    <xf numFmtId="0" fontId="8" fillId="37" borderId="41" xfId="0" applyFont="1" applyFill="1" applyBorder="1" applyAlignment="1" applyProtection="1">
      <alignment horizontal="left" vertical="center" wrapText="1"/>
    </xf>
    <xf numFmtId="0" fontId="39" fillId="37" borderId="53" xfId="0" applyFont="1" applyFill="1" applyBorder="1" applyAlignment="1" applyProtection="1">
      <alignment horizontal="left" vertical="center" wrapText="1"/>
    </xf>
    <xf numFmtId="0" fontId="39" fillId="37" borderId="40" xfId="0" applyFont="1" applyFill="1" applyBorder="1" applyAlignment="1" applyProtection="1">
      <alignment horizontal="left" vertical="center" wrapText="1"/>
    </xf>
    <xf numFmtId="0" fontId="39" fillId="37" borderId="33" xfId="0" applyFont="1" applyFill="1" applyBorder="1" applyAlignment="1" applyProtection="1">
      <alignment horizontal="left" vertical="center" wrapText="1"/>
    </xf>
    <xf numFmtId="0" fontId="39" fillId="37" borderId="14" xfId="0" applyFont="1" applyFill="1" applyBorder="1" applyAlignment="1" applyProtection="1">
      <alignment horizontal="left" vertical="center" wrapText="1"/>
    </xf>
    <xf numFmtId="0" fontId="3" fillId="28" borderId="17" xfId="0" applyFont="1" applyFill="1" applyBorder="1" applyAlignment="1" applyProtection="1">
      <alignment horizontal="center" textRotation="90" wrapText="1"/>
    </xf>
    <xf numFmtId="0" fontId="3" fillId="28" borderId="15" xfId="0" applyFont="1" applyFill="1" applyBorder="1" applyAlignment="1" applyProtection="1">
      <alignment horizontal="center" textRotation="90" wrapText="1"/>
    </xf>
    <xf numFmtId="0" fontId="0" fillId="0" borderId="11" xfId="0" applyBorder="1" applyAlignment="1" applyProtection="1"/>
    <xf numFmtId="0" fontId="0" fillId="0" borderId="10" xfId="0" applyBorder="1" applyAlignment="1" applyProtection="1"/>
    <xf numFmtId="0" fontId="3" fillId="28" borderId="70" xfId="0" applyFont="1" applyFill="1" applyBorder="1" applyAlignment="1" applyProtection="1">
      <alignment horizontal="center" vertical="center" wrapText="1"/>
    </xf>
    <xf numFmtId="0" fontId="3" fillId="28" borderId="64" xfId="0" applyFont="1" applyFill="1" applyBorder="1" applyAlignment="1" applyProtection="1">
      <alignment horizontal="center" vertical="center" wrapText="1"/>
    </xf>
    <xf numFmtId="0" fontId="3" fillId="28" borderId="39" xfId="0" applyFont="1" applyFill="1" applyBorder="1" applyAlignment="1" applyProtection="1">
      <alignment horizontal="center" vertical="center" wrapText="1"/>
    </xf>
    <xf numFmtId="0" fontId="42" fillId="0" borderId="0" xfId="0" applyFont="1" applyAlignment="1">
      <alignment horizontal="center" vertical="top"/>
    </xf>
    <xf numFmtId="49" fontId="3" fillId="28" borderId="22" xfId="0" applyNumberFormat="1" applyFont="1" applyFill="1" applyBorder="1" applyAlignment="1" applyProtection="1">
      <alignment horizontal="center" textRotation="90" wrapText="1"/>
    </xf>
    <xf numFmtId="49" fontId="3" fillId="28" borderId="45" xfId="0" applyNumberFormat="1" applyFont="1" applyFill="1" applyBorder="1" applyAlignment="1" applyProtection="1">
      <alignment horizontal="center" textRotation="90" wrapText="1"/>
    </xf>
    <xf numFmtId="49" fontId="3" fillId="28" borderId="23" xfId="0" applyNumberFormat="1" applyFont="1" applyFill="1" applyBorder="1" applyAlignment="1" applyProtection="1">
      <alignment horizontal="center" textRotation="90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0" builtinId="5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171">
    <dxf>
      <fill>
        <patternFill>
          <bgColor indexed="11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FF00"/>
      <color rgb="FF9BBB59"/>
      <color rgb="FF92D050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1821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22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3" name="Rectangle 3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4" name="Rectangle 4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829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1833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1837" name="Rectangle 145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1839" name="Rectangle 147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853" name="Rectangle 161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1855" name="Rectangle 163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5" name="Rectangle 18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6" name="Rectangle 18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7" name="Rectangle 18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8" name="Rectangle 19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9" name="Rectangle 19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0" name="Rectangle 19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1" name="Rectangle 19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2" name="Rectangle 19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3" name="Rectangle 19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4" name="Rectangle 19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5" name="Rectangle 19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6" name="Rectangle 19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7" name="Rectangle 19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8" name="Rectangle 20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9" name="Rectangle 20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0" name="Rectangle 20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1" name="Rectangle 20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2" name="Rectangle 20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3" name="Rectangle 20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4" name="Rectangle 20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917" name="Rectangle 229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2" name="Rectangle 2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3" name="Rectangle 2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4" name="Rectangle 23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5" name="Rectangle 2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6" name="Rectangle 2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7" name="Rectangle 2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7" name="Rectangle 24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8" name="Rectangle 25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9" name="Rectangle 25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0" name="Rectangle 25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1" name="Rectangle 25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7" name="Rectangle 25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8" name="Rectangle 26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9" name="Rectangle 26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0" name="Rectangle 26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1" name="Rectangle 263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2" name="Rectangle 26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3" name="Rectangle 26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4" name="Rectangle 26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5" name="Rectangle 26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6" name="Rectangle 26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4" name="Rectangle 276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5" name="Rectangle 277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6" name="Rectangle 278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7" name="Rectangle 27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8" name="Rectangle 28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9" name="Rectangle 28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70" name="Rectangle 28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1" name="Rectangle 28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2" name="Rectangle 28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3" name="Rectangle 28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4" name="Rectangle 28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5" name="Rectangle 28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6" name="Rectangle 28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7" name="Rectangle 28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0" name="Rectangle 30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1" name="Rectangle 30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2" name="Rectangle 30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3" name="Rectangle 30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4" name="Rectangle 30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5" name="Rectangle 30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6" name="Rectangle 30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7" name="Rectangle 30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8" name="Rectangle 31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9" name="Rectangle 31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0" name="Rectangle 31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1" name="Rectangle 31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2" name="Rectangle 31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3" name="Rectangle 31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4" name="Rectangle 31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5" name="Rectangle 31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6" name="Rectangle 31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7" name="Rectangle 3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8" name="Rectangle 3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9" name="Rectangle 3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0" name="Rectangle 32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1" name="Rectangle 32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2" name="Rectangle 324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3" name="Rectangle 32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4" name="Rectangle 32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15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1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21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25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26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2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32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6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8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0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7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8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9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22050" name="Rectangle 1"/>
        <xdr:cNvSpPr>
          <a:spLocks noChangeArrowheads="1"/>
        </xdr:cNvSpPr>
      </xdr:nvSpPr>
      <xdr:spPr bwMode="auto">
        <a:xfrm>
          <a:off x="502920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1" name="Rectangle 11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2" name="Rectangle 12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142875</xdr:colOff>
      <xdr:row>25</xdr:row>
      <xdr:rowOff>35902</xdr:rowOff>
    </xdr:from>
    <xdr:to>
      <xdr:col>35</xdr:col>
      <xdr:colOff>142875</xdr:colOff>
      <xdr:row>25</xdr:row>
      <xdr:rowOff>131152</xdr:rowOff>
    </xdr:to>
    <xdr:sp macro="" textlink="">
      <xdr:nvSpPr>
        <xdr:cNvPr id="22054" name="Rectangle 1"/>
        <xdr:cNvSpPr>
          <a:spLocks noChangeArrowheads="1"/>
        </xdr:cNvSpPr>
      </xdr:nvSpPr>
      <xdr:spPr bwMode="auto">
        <a:xfrm>
          <a:off x="5381625" y="5098806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5" name="Rectangle 11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6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7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69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0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1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72" name="Rectangle 1830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73" name="Rectangle 183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78" name="Rectangle 183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82" name="Rectangle 1840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86" name="Rectangle 1844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102" name="Rectangle 1860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2104" name="Rectangle 1862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4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6" name="Rectangle 188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7" name="Rectangle 188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8" name="Rectangle 188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9" name="Rectangle 188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30" name="Rectangle 189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8" name="Rectangle 11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9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0" name="Rectangle 190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1" name="Rectangle 190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2" name="Rectangle 190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3" name="Rectangle 190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4" name="Rectangle 190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5" name="Rectangle 11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7" name="Rectangle 190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8" name="Rectangle 190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9" name="Rectangle 190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0" name="Rectangle 191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1" name="Rectangle 191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4" name="Rectangle 11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5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6" name="Rectangle 192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7" name="Rectangle 192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8" name="Rectangle 192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9" name="Rectangle 19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0" name="Rectangle 19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1" name="Rectangle 19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2" name="Rectangle 193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3" name="Rectangle 193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4" name="Rectangle 19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5" name="Rectangle 19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6" name="Rectangle 11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8" name="Rectangle 19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9" name="Rectangle 19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0" name="Rectangle 194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1" name="Rectangle 194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2" name="Rectangle 194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3" name="Rectangle 194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4" name="Rectangle 194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5" name="Rectangle 194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6" name="Rectangle 194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7" name="Rectangle 194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202" name="Rectangle 1962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2" name="Rectangle 11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3" name="Rectangle 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4" name="Rectangle 198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5" name="Rectangle 1983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6" name="Rectangle 1984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7" name="Rectangle 1985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8" name="Rectangle 1986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9" name="Rectangle 198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6" name="Rectangle 11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7" name="Rectangle 2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8" name="Rectangle 2006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9" name="Rectangle 200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0" name="Rectangle 2008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1" name="Rectangle 2009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2" name="Rectangle 2010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3" name="Rectangle 2011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0" name="Rectangle 11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1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2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3" name="Rectangle 20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4" name="Rectangle 20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5" name="Rectangle 20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6" name="Rectangle 11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8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9" name="Rectangle 203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0" name="Rectangle 203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1" name="Rectangle 20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2" name="Rectangle 117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3" name="Rectangle 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4" name="Rectangle 2098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5" name="Rectangle 2099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6" name="Rectangle 2100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7" name="Rectangle 2101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8" name="Rectangle 210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9" name="Rectangle 2103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6" name="Rectangle 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7" name="Rectangle 2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8" name="Rectangle 2122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9" name="Rectangle 212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0" name="Rectangle 212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1" name="Rectangle 212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2" name="Rectangle 212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3" name="Rectangle 212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28575</xdr:rowOff>
    </xdr:from>
    <xdr:to>
      <xdr:col>32</xdr:col>
      <xdr:colOff>142875</xdr:colOff>
      <xdr:row>25</xdr:row>
      <xdr:rowOff>123825</xdr:rowOff>
    </xdr:to>
    <xdr:sp macro="" textlink="">
      <xdr:nvSpPr>
        <xdr:cNvPr id="22359" name="Rectangle 1"/>
        <xdr:cNvSpPr>
          <a:spLocks noChangeArrowheads="1"/>
        </xdr:cNvSpPr>
      </xdr:nvSpPr>
      <xdr:spPr bwMode="auto">
        <a:xfrm>
          <a:off x="4743450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0" name="Rectangle 11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1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2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28575</xdr:rowOff>
    </xdr:from>
    <xdr:to>
      <xdr:col>32</xdr:col>
      <xdr:colOff>142875</xdr:colOff>
      <xdr:row>24</xdr:row>
      <xdr:rowOff>123825</xdr:rowOff>
    </xdr:to>
    <xdr:sp macro="" textlink="">
      <xdr:nvSpPr>
        <xdr:cNvPr id="22363" name="Rectangle 1"/>
        <xdr:cNvSpPr>
          <a:spLocks noChangeArrowheads="1"/>
        </xdr:cNvSpPr>
      </xdr:nvSpPr>
      <xdr:spPr bwMode="auto">
        <a:xfrm>
          <a:off x="474345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4" name="Rectangle 1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5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6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7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9" name="Rectangle 215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0" name="Rectangle 215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1" name="Rectangle 215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2" name="Rectangle 215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3" name="Rectangle 215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4" name="Rectangle 11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6" name="Rectangle 216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7" name="Rectangle 216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8" name="Rectangle 216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9" name="Rectangle 216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0" name="Rectangle 216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1" name="Rectangle 216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2" name="Rectangle 216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3" name="Rectangle 216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4" name="Rectangle 216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5" name="Rectangle 216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6" name="Rectangle 11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7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9" name="Rectangle 217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0" name="Rectangle 217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1" name="Rectangle 217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2" name="Rectangle 1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3" name="Rectangle 217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4" name="Rectangle 217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5" name="Rectangle 217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6" name="Rectangle 218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7" name="Rectangle 218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8" name="Rectangle 218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400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401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406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410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2" name="Rectangle 25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3" name="Rectangle 26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4" name="Rectangle 26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5" name="Rectangle 26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6" name="Rectangle 26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7" name="Rectangle 27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8" name="Rectangle 27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9" name="Rectangle 27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0" name="Rectangle 27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1" name="Rectangle 28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2" name="Rectangle 28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3" name="Rectangle 28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604" name="Rectangle 1"/>
        <xdr:cNvSpPr>
          <a:spLocks noChangeArrowheads="1"/>
        </xdr:cNvSpPr>
      </xdr:nvSpPr>
      <xdr:spPr bwMode="auto">
        <a:xfrm>
          <a:off x="5173807" y="49123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5" name="Rectangle 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6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7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8" name="Rectangle 12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9" name="Rectangle 211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0" name="Rectangle 2114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1" name="Rectangle 2115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2" name="Rectangle 211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3" name="Rectangle 211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4" name="Rectangle 211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5" name="Rectangle 2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16" name="Rectangle 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624" name="Rectangle 123"/>
        <xdr:cNvSpPr>
          <a:spLocks noChangeArrowheads="1"/>
        </xdr:cNvSpPr>
      </xdr:nvSpPr>
      <xdr:spPr bwMode="auto">
        <a:xfrm>
          <a:off x="574357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8" name="Rectangle 17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9" name="Rectangle 179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0" name="Rectangle 18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1" name="Rectangle 18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2" name="Rectangle 18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3" name="Rectangle 18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4" name="Rectangle 18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5" name="Rectangle 18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6" name="Rectangle 18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7" name="Rectangle 18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8" name="Rectangle 188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9" name="Rectangle 189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0" name="Rectangle 19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1" name="Rectangle 19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2" name="Rectangle 19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3" name="Rectangle 19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4" name="Rectangle 194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5" name="Rectangle 195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6" name="Rectangle 196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7" name="Rectangle 197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8" name="Rectangle 19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1" name="Rectangle 201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2" name="Rectangle 20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3" name="Rectangle 203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4" name="Rectangle 20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5" name="Rectangle 20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6" name="Rectangle 20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7" name="Rectangle 20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699" name="Rectangle 223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0" name="Rectangle 224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1" name="Rectangle 225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2" name="Rectangle 226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3" name="Rectangle 227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4" name="Rectangle 228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0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1" name="Rectangle 14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2" name="Rectangle 1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3" name="Rectangle 15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4" name="Rectangle 1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5" name="Rectangle 175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6" name="Rectangle 176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8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9" name="Rectangle 183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0" name="Rectangle 184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1" name="Rectangle 1850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2" name="Rectangle 18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3" name="Rectangle 187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4" name="Rectangle 187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5" name="Rectangle 18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6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8" name="Rectangle 147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9" name="Rectangle 14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40" name="Rectangle 16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4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5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6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7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8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9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0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1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2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3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4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5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6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9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0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2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3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4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5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6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7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9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0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1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2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3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4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5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6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7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8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9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2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3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4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7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8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9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0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1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2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3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4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5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6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7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8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9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1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2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3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4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5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6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7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8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9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0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1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2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3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6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7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9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0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1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2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3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4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6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7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8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9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0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1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2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3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4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5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6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9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0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1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4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5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6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7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8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9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0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1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2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3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4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5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6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8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9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0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1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2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3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4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5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6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7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8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9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0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3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4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6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7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8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9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0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1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3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4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5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6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7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8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9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0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1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2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3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6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7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8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1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2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3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4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5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6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7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8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9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0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1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2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3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5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6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7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8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9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0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1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2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3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4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5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6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7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0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1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3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4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5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6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7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8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0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1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2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3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4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5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6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7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8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9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0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3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4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5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8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9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0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1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2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3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4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5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6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7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8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9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30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2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3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4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5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6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7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8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9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0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1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2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3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4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7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8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0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1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2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3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4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5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7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8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9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0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1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2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3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4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5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6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7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0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1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2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5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6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7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8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9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0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1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2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3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4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5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6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7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89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0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1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2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3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4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5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6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7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8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9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0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1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4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5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7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8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9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0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1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2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4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5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6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7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8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9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0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1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2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3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4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7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8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9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2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3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4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5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6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7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8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9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0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1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2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3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4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6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7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8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9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0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1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2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3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4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5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6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7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8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1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2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4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5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6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7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8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9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1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2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3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4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5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6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7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8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9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0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1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4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5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6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9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0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1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2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3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4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5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6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7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8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9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700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701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3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4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5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6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7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8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9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0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1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2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3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4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5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8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9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1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2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3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4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5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6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8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9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0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1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2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3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4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5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6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7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8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1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2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3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6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7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8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9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0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1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2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3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4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5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6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7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8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4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5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6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7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8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9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00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01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2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3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4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5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6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7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8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9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0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1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2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3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4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5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6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7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18" name="Rectangle 147"/>
        <xdr:cNvSpPr>
          <a:spLocks noChangeArrowheads="1"/>
        </xdr:cNvSpPr>
      </xdr:nvSpPr>
      <xdr:spPr bwMode="auto">
        <a:xfrm>
          <a:off x="6553933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7" name="Rectangle 11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8" name="Rectangle 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9" name="Rectangle 2098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0" name="Rectangle 2099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1" name="Rectangle 2100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2" name="Rectangle 2101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3" name="Rectangle 210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4" name="Rectangle 2103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5" name="Rectangle 14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6" name="Rectangle 11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7" name="Rectangle 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8" name="Rectangle 2098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9" name="Rectangle 2099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0" name="Rectangle 2100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1" name="Rectangle 2101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2" name="Rectangle 210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3" name="Rectangle 2103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4" name="Rectangle 14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6" name="Rectangle 25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7" name="Rectangle 26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8" name="Rectangle 26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9" name="Rectangle 26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0" name="Rectangle 263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1" name="Rectangle 276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2" name="Rectangle 277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3" name="Rectangle 278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4" name="Rectangle 27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5" name="Rectangle 28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6" name="Rectangle 28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7" name="Rectangle 28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968" name="Rectangle 1"/>
        <xdr:cNvSpPr>
          <a:spLocks noChangeArrowheads="1"/>
        </xdr:cNvSpPr>
      </xdr:nvSpPr>
      <xdr:spPr bwMode="auto">
        <a:xfrm>
          <a:off x="5235087" y="48936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9" name="Rectangle 11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70" name="Rectangle 12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1" name="Rectangle 25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2" name="Rectangle 26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3" name="Rectangle 26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4" name="Rectangle 26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5" name="Rectangle 263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6" name="Rectangle 276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7" name="Rectangle 277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8" name="Rectangle 278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9" name="Rectangle 27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0" name="Rectangle 28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1" name="Rectangle 28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2" name="Rectangle 28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83" name="Rectangle 1"/>
        <xdr:cNvSpPr>
          <a:spLocks noChangeArrowheads="1"/>
        </xdr:cNvSpPr>
      </xdr:nvSpPr>
      <xdr:spPr bwMode="auto">
        <a:xfrm>
          <a:off x="5235087" y="48936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4" name="Rectangle 11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5" name="Rectangle 12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6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6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69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0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1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2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3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4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5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6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7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8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9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0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5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6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7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8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0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1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2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3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4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5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6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9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9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0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1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2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3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4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5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6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7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8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9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0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1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3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4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6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7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8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9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0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1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2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4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5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6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7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8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9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0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2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3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4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5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6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7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8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0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1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2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3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4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5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6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7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8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9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0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1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2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3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4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5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86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7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98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1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2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3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4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5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6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7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8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9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0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1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2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7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9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0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2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3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4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5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6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7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8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1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1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2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3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4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5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6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7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8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9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0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1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2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3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5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6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8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9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0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1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2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3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4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6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7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8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9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0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1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2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4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5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6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7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8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9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0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2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3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4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5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6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7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8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9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0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1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2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3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4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5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6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7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78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9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8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8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3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4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5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6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7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8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9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0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1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2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3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4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9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9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9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01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2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4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5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6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7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8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9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0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1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3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4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5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6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7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8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9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0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1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2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3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4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2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7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0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1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2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3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4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5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6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8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9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0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1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2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3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4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6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7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8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9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0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1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2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4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5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6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7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8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9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0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1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2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3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4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5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6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7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8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9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70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71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72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7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5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6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7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8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9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0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1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2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3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4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5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6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8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8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1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2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93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4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6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7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8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9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0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1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2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0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5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6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7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8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9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0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1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2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3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4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5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6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1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9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2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3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4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5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6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7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8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0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1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2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3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4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5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6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8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9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0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1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2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3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4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6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7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8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9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0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1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2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3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4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5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6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7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8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9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0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1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62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3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4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5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6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7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8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9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0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1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2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3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4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5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6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277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8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9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0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1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2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3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4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5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6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7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8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9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0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1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1292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3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4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5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6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7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8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9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0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1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2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59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0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1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2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763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4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5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6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7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8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9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0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1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2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3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4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5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6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7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778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9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80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1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2" name="Rectangle 19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3" name="Rectangle 19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4" name="Rectangle 19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5" name="Rectangle 20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6" name="Rectangle 20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7" name="Rectangle 20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8" name="Rectangle 20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9" name="Rectangle 20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0" name="Rectangle 20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1" name="Rectangle 20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2" name="Rectangle 23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3" name="Rectangle 23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4" name="Rectangle 23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5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6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142875</xdr:colOff>
      <xdr:row>25</xdr:row>
      <xdr:rowOff>35902</xdr:rowOff>
    </xdr:from>
    <xdr:to>
      <xdr:col>34</xdr:col>
      <xdr:colOff>142875</xdr:colOff>
      <xdr:row>25</xdr:row>
      <xdr:rowOff>131152</xdr:rowOff>
    </xdr:to>
    <xdr:sp macro="" textlink="">
      <xdr:nvSpPr>
        <xdr:cNvPr id="1797" name="Rectangle 1"/>
        <xdr:cNvSpPr>
          <a:spLocks noChangeArrowheads="1"/>
        </xdr:cNvSpPr>
      </xdr:nvSpPr>
      <xdr:spPr bwMode="auto">
        <a:xfrm>
          <a:off x="5203549" y="512142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8" name="Rectangle 183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9" name="Rectangle 11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0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1" name="Rectangle 190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2" name="Rectangle 190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3" name="Rectangle 190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4" name="Rectangle 191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5" name="Rectangle 191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6" name="Rectangle 11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7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8" name="Rectangle 193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9" name="Rectangle 193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0" name="Rectangle 194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1" name="Rectangle 194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2" name="Rectangle 194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3" name="Rectangle 194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4" name="Rectangle 194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5" name="Rectangle 194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6" name="Rectangle 194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7" name="Rectangle 194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8" name="Rectangle 11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9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0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1" name="Rectangle 203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2" name="Rectangle 203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3" name="Rectangle 203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4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5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6" name="Rectangle 18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7" name="Rectangle 18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8" name="Rectangle 18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9" name="Rectangle 18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0" name="Rectangle 18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1" name="Rectangle 18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2" name="Rectangle 20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3" name="Rectangle 20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4" name="Rectangle 20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5" name="Rectangle 20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6" name="Rectangle 20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7" name="Rectangle 20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2071</xdr:colOff>
      <xdr:row>25</xdr:row>
      <xdr:rowOff>47625</xdr:rowOff>
    </xdr:from>
    <xdr:to>
      <xdr:col>35</xdr:col>
      <xdr:colOff>2071</xdr:colOff>
      <xdr:row>25</xdr:row>
      <xdr:rowOff>142875</xdr:rowOff>
    </xdr:to>
    <xdr:sp macro="" textlink="">
      <xdr:nvSpPr>
        <xdr:cNvPr id="1838" name="Rectangle 207"/>
        <xdr:cNvSpPr>
          <a:spLocks noChangeArrowheads="1"/>
        </xdr:cNvSpPr>
      </xdr:nvSpPr>
      <xdr:spPr bwMode="auto">
        <a:xfrm>
          <a:off x="5062745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39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0" name="Rectangle 197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1" name="Rectangle 198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2" name="Rectangle 199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3" name="Rectangle 200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4" name="Rectangle 201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5" name="Rectangle 20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6" name="Rectangle 203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7" name="Rectangle 204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8" name="Rectangle 205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49" name="Rectangle 206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0" name="Rectangle 237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1" name="Rectangle 238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2" name="Rectangle 239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3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4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5" name="Rectangle 1831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6" name="Rectangle 115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7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8" name="Rectangle 1907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59" name="Rectangle 1908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0" name="Rectangle 1909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1" name="Rectangle 1910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2" name="Rectangle 1911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3" name="Rectangle 116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4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5" name="Rectangle 1938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6" name="Rectangle 1939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7" name="Rectangle 1940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8" name="Rectangle 1941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69" name="Rectangle 194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0" name="Rectangle 1943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1" name="Rectangle 1944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2" name="Rectangle 1945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3" name="Rectangle 1946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4" name="Rectangle 1947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5" name="Rectangle 118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6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7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8" name="Rectangle 2035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79" name="Rectangle 2036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0" name="Rectangle 2037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1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2" name="Rectangle 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3" name="Rectangle 184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4" name="Rectangle 185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5" name="Rectangle 186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6" name="Rectangle 187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7" name="Rectangle 188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8" name="Rectangle 189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89" name="Rectangle 201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90" name="Rectangle 202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91" name="Rectangle 203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92" name="Rectangle 204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93" name="Rectangle 205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94" name="Rectangle 206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895" name="Rectangle 207"/>
        <xdr:cNvSpPr>
          <a:spLocks noChangeArrowheads="1"/>
        </xdr:cNvSpPr>
      </xdr:nvSpPr>
      <xdr:spPr bwMode="auto">
        <a:xfrm>
          <a:off x="5485158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896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897" name="Rectangle 19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898" name="Rectangle 19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899" name="Rectangle 19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0" name="Rectangle 20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1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2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3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4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5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6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7" name="Rectangle 2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8" name="Rectangle 2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09" name="Rectangle 2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0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1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2" name="Rectangle 183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3" name="Rectangle 11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4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5" name="Rectangle 19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6" name="Rectangle 190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7" name="Rectangle 190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8" name="Rectangle 191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19" name="Rectangle 191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0" name="Rectangle 11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1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2" name="Rectangle 19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3" name="Rectangle 19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4" name="Rectangle 194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5" name="Rectangle 194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6" name="Rectangle 194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7" name="Rectangle 194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8" name="Rectangle 194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29" name="Rectangle 194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0" name="Rectangle 194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1" name="Rectangle 194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2" name="Rectangle 11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3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4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5" name="Rectangle 203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6" name="Rectangle 203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7" name="Rectangle 20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8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39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0" name="Rectangle 18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1" name="Rectangle 18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2" name="Rectangle 18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3" name="Rectangle 18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4" name="Rectangle 18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5" name="Rectangle 18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6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7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8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49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50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51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26</xdr:row>
      <xdr:rowOff>47625</xdr:rowOff>
    </xdr:from>
    <xdr:to>
      <xdr:col>32</xdr:col>
      <xdr:colOff>142875</xdr:colOff>
      <xdr:row>26</xdr:row>
      <xdr:rowOff>142875</xdr:rowOff>
    </xdr:to>
    <xdr:sp macro="" textlink="">
      <xdr:nvSpPr>
        <xdr:cNvPr id="1952" name="Rectangle 2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53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54" name="Rectangle 19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55" name="Rectangle 19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56" name="Rectangle 19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57" name="Rectangle 20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58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59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0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1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2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3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4" name="Rectangle 2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5" name="Rectangle 2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6" name="Rectangle 2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7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8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69" name="Rectangle 183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0" name="Rectangle 11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1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2" name="Rectangle 19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3" name="Rectangle 190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4" name="Rectangle 190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5" name="Rectangle 191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6" name="Rectangle 191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7" name="Rectangle 11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8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79" name="Rectangle 19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0" name="Rectangle 19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1" name="Rectangle 194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2" name="Rectangle 194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3" name="Rectangle 194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4" name="Rectangle 194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5" name="Rectangle 194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6" name="Rectangle 194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7" name="Rectangle 194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8" name="Rectangle 194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89" name="Rectangle 11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0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1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2" name="Rectangle 203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3" name="Rectangle 203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4" name="Rectangle 20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5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6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7" name="Rectangle 18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8" name="Rectangle 18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1999" name="Rectangle 18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0" name="Rectangle 18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1" name="Rectangle 18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2" name="Rectangle 18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3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4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5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6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7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8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26</xdr:row>
      <xdr:rowOff>47625</xdr:rowOff>
    </xdr:from>
    <xdr:to>
      <xdr:col>33</xdr:col>
      <xdr:colOff>142875</xdr:colOff>
      <xdr:row>26</xdr:row>
      <xdr:rowOff>142875</xdr:rowOff>
    </xdr:to>
    <xdr:sp macro="" textlink="">
      <xdr:nvSpPr>
        <xdr:cNvPr id="2009" name="Rectangle 2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0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1" name="Rectangle 19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2" name="Rectangle 19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3" name="Rectangle 19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4" name="Rectangle 20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5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6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7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8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19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0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1" name="Rectangle 2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2" name="Rectangle 2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3" name="Rectangle 2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4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5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6" name="Rectangle 183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7" name="Rectangle 11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8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29" name="Rectangle 19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0" name="Rectangle 190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1" name="Rectangle 190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2" name="Rectangle 191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3" name="Rectangle 191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4" name="Rectangle 11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5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6" name="Rectangle 19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7" name="Rectangle 19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8" name="Rectangle 194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39" name="Rectangle 194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0" name="Rectangle 194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1" name="Rectangle 194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2" name="Rectangle 194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3" name="Rectangle 194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4" name="Rectangle 194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5" name="Rectangle 194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6" name="Rectangle 11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7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8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49" name="Rectangle 203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0" name="Rectangle 203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1" name="Rectangle 20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2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3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4" name="Rectangle 18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5" name="Rectangle 18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6" name="Rectangle 18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7" name="Rectangle 18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8" name="Rectangle 18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59" name="Rectangle 18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60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61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62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63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64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65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26</xdr:row>
      <xdr:rowOff>47625</xdr:rowOff>
    </xdr:from>
    <xdr:to>
      <xdr:col>34</xdr:col>
      <xdr:colOff>142875</xdr:colOff>
      <xdr:row>26</xdr:row>
      <xdr:rowOff>142875</xdr:rowOff>
    </xdr:to>
    <xdr:sp macro="" textlink="">
      <xdr:nvSpPr>
        <xdr:cNvPr id="2066" name="Rectangle 2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67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68" name="Rectangle 19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69" name="Rectangle 19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0" name="Rectangle 19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1" name="Rectangle 20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2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3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4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5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6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7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8" name="Rectangle 2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79" name="Rectangle 2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0" name="Rectangle 2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1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2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3" name="Rectangle 183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4" name="Rectangle 11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5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6" name="Rectangle 19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7" name="Rectangle 190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8" name="Rectangle 190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89" name="Rectangle 191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0" name="Rectangle 191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1" name="Rectangle 11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2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3" name="Rectangle 19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4" name="Rectangle 19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5" name="Rectangle 194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6" name="Rectangle 194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7" name="Rectangle 194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8" name="Rectangle 194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099" name="Rectangle 194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0" name="Rectangle 194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1" name="Rectangle 194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2" name="Rectangle 194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3" name="Rectangle 11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4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5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6" name="Rectangle 203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7" name="Rectangle 203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8" name="Rectangle 20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09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0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1" name="Rectangle 18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2" name="Rectangle 18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3" name="Rectangle 18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4" name="Rectangle 18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5" name="Rectangle 18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6" name="Rectangle 18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7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8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19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20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21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22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123" name="Rectangle 2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24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25" name="Rectangle 19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26" name="Rectangle 19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27" name="Rectangle 19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28" name="Rectangle 20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29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0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1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2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3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4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5" name="Rectangle 2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6" name="Rectangle 2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7" name="Rectangle 2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8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39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0" name="Rectangle 183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1" name="Rectangle 11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2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3" name="Rectangle 19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4" name="Rectangle 190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5" name="Rectangle 190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6" name="Rectangle 191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7" name="Rectangle 191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8" name="Rectangle 11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49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0" name="Rectangle 193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1" name="Rectangle 193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2" name="Rectangle 1940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3" name="Rectangle 194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4" name="Rectangle 194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5" name="Rectangle 194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6" name="Rectangle 194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7" name="Rectangle 194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8" name="Rectangle 194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59" name="Rectangle 194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0" name="Rectangle 11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1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2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3" name="Rectangle 203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4" name="Rectangle 203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5" name="Rectangle 203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6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7" name="Rectangle 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8" name="Rectangle 18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69" name="Rectangle 18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0" name="Rectangle 18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1" name="Rectangle 18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2" name="Rectangle 188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3" name="Rectangle 189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4" name="Rectangle 201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5" name="Rectangle 202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6" name="Rectangle 203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7" name="Rectangle 204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8" name="Rectangle 205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79" name="Rectangle 206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180" name="Rectangle 207"/>
        <xdr:cNvSpPr>
          <a:spLocks noChangeArrowheads="1"/>
        </xdr:cNvSpPr>
      </xdr:nvSpPr>
      <xdr:spPr bwMode="auto">
        <a:xfrm>
          <a:off x="5485158" y="53319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AppData/Local/Microsoft/Windows/Temporary%20Internet%20Files/Content.Outlook/KMC0QDP1/&#1059;&#1055;%2026.02.05.%20&#1069;&#1082;&#1089;&#1087;&#1083;&#1091;&#1072;&#1090;&#1072;&#1094;&#1080;&#1103;%20&#1089;&#1091;&#1076;&#1086;&#1074;&#1099;&#1093;%20&#1101;&#1085;&#1077;&#1088;&#1075;&#1077;&#1090;&#1080;&#1095;&#1077;&#1089;&#1082;&#1080;&#1093;%20&#1091;&#1089;&#1090;&#1072;&#1085;&#1086;&#1074;&#1086;&#108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Учебный план"/>
      <sheetName val="Нормы"/>
      <sheetName val="Компетенции"/>
      <sheetName val="Материально-техническая база"/>
      <sheetName val="Примечание"/>
    </sheetNames>
    <sheetDataSet>
      <sheetData sheetId="0">
        <row r="13">
          <cell r="BC13" t="str">
            <v>07.05.2014 г. № 443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showZeros="0" tabSelected="1" zoomScale="115" zoomScaleNormal="115" workbookViewId="0">
      <selection activeCell="AU27" sqref="AU27"/>
    </sheetView>
  </sheetViews>
  <sheetFormatPr defaultColWidth="2.83203125" defaultRowHeight="12.75" x14ac:dyDescent="0.2"/>
  <cols>
    <col min="1" max="1" width="3.83203125" style="6" customWidth="1"/>
    <col min="2" max="10" width="2.5" style="6" customWidth="1"/>
    <col min="11" max="11" width="3" style="6" customWidth="1"/>
    <col min="12" max="13" width="2.5" style="6" customWidth="1"/>
    <col min="14" max="14" width="2.83203125" style="6" customWidth="1"/>
    <col min="15" max="55" width="2.5" style="6" customWidth="1"/>
    <col min="56" max="56" width="4.1640625" style="6" bestFit="1" customWidth="1"/>
    <col min="57" max="65" width="3.33203125" style="6" customWidth="1"/>
    <col min="66" max="66" width="5.6640625" style="6" bestFit="1" customWidth="1"/>
    <col min="67" max="16384" width="2.83203125" style="6"/>
  </cols>
  <sheetData>
    <row r="1" spans="1:66" ht="15.75" customHeight="1" x14ac:dyDescent="0.2">
      <c r="A1" s="128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657" t="s">
        <v>34</v>
      </c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  <c r="AN1" s="657"/>
      <c r="AO1" s="657"/>
      <c r="AP1" s="657"/>
      <c r="AQ1" s="657"/>
      <c r="AR1" s="657"/>
      <c r="AS1" s="657"/>
      <c r="AT1" s="657"/>
      <c r="AU1" s="657"/>
      <c r="AV1" s="657"/>
      <c r="AW1" s="657"/>
      <c r="AX1" s="657"/>
      <c r="AY1" s="657"/>
      <c r="AZ1" s="657"/>
      <c r="BA1" s="657"/>
      <c r="BB1" s="657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</row>
    <row r="2" spans="1:66" ht="15.75" customHeight="1" x14ac:dyDescent="0.2">
      <c r="A2" s="649" t="s">
        <v>403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58" t="s">
        <v>404</v>
      </c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  <c r="AG2" s="658"/>
      <c r="AH2" s="658"/>
      <c r="AI2" s="658"/>
      <c r="AJ2" s="658"/>
      <c r="AK2" s="658"/>
      <c r="AL2" s="658"/>
      <c r="AM2" s="658"/>
      <c r="AN2" s="658"/>
      <c r="AO2" s="658"/>
      <c r="AP2" s="658"/>
      <c r="AQ2" s="658"/>
      <c r="AR2" s="658"/>
      <c r="AS2" s="658"/>
      <c r="AT2" s="658"/>
      <c r="AU2" s="658"/>
      <c r="AV2" s="658"/>
      <c r="AW2" s="658"/>
      <c r="AX2" s="658"/>
      <c r="AY2" s="658"/>
      <c r="AZ2" s="658"/>
      <c r="BA2" s="658"/>
      <c r="BB2" s="658"/>
      <c r="BC2" s="652" t="s">
        <v>46</v>
      </c>
      <c r="BD2" s="652"/>
      <c r="BE2" s="652"/>
      <c r="BF2" s="652"/>
      <c r="BG2" s="652"/>
      <c r="BH2" s="652"/>
      <c r="BI2" s="652"/>
      <c r="BJ2" s="652"/>
      <c r="BK2" s="652"/>
      <c r="BL2" s="652"/>
      <c r="BM2" s="652"/>
      <c r="BN2" s="652"/>
    </row>
    <row r="3" spans="1:66" ht="21.75" customHeight="1" x14ac:dyDescent="0.2">
      <c r="A3" s="655">
        <v>42817</v>
      </c>
      <c r="B3" s="655"/>
      <c r="C3" s="655"/>
      <c r="D3" s="655"/>
      <c r="E3" s="655"/>
      <c r="F3" s="655"/>
      <c r="G3" s="655"/>
      <c r="H3" s="655" t="s">
        <v>502</v>
      </c>
      <c r="I3" s="655"/>
      <c r="J3" s="655"/>
      <c r="K3" s="655"/>
      <c r="L3" s="655"/>
      <c r="M3" s="655"/>
      <c r="N3" s="655"/>
      <c r="O3" s="658" t="s">
        <v>354</v>
      </c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4" t="s">
        <v>343</v>
      </c>
      <c r="BD3" s="654"/>
      <c r="BE3" s="654"/>
      <c r="BF3" s="654"/>
      <c r="BG3" s="654"/>
      <c r="BH3" s="654"/>
      <c r="BI3" s="654"/>
      <c r="BJ3" s="654"/>
      <c r="BK3" s="654"/>
      <c r="BL3" s="654"/>
      <c r="BM3" s="654"/>
      <c r="BN3" s="654"/>
    </row>
    <row r="4" spans="1:66" ht="15.75" customHeight="1" x14ac:dyDescent="0.2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656" t="s">
        <v>334</v>
      </c>
      <c r="BD4" s="656"/>
      <c r="BE4" s="656"/>
      <c r="BF4" s="656"/>
      <c r="BG4" s="656"/>
      <c r="BH4" s="656"/>
      <c r="BI4" s="656"/>
      <c r="BJ4" s="656"/>
      <c r="BK4" s="656"/>
      <c r="BL4" s="656"/>
      <c r="BM4" s="656"/>
      <c r="BN4" s="656"/>
    </row>
    <row r="5" spans="1:66" ht="15.75" customHeight="1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7"/>
      <c r="P5" s="127"/>
      <c r="Q5" s="127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01"/>
      <c r="BD5" s="129"/>
      <c r="BE5" s="129"/>
      <c r="BF5" s="102"/>
      <c r="BG5" s="103"/>
      <c r="BH5" s="103"/>
      <c r="BI5" s="103"/>
      <c r="BJ5" s="103"/>
      <c r="BK5" s="103"/>
      <c r="BL5" s="103"/>
      <c r="BM5" s="103"/>
      <c r="BN5" s="129"/>
    </row>
    <row r="6" spans="1:66" ht="15.75" customHeight="1" x14ac:dyDescent="0.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7"/>
      <c r="P6" s="127"/>
      <c r="Q6" s="12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653">
        <v>42818</v>
      </c>
      <c r="BD6" s="653"/>
      <c r="BE6" s="653"/>
      <c r="BF6" s="653"/>
      <c r="BG6" s="653"/>
      <c r="BH6" s="653"/>
      <c r="BI6" s="653"/>
      <c r="BJ6" s="653"/>
      <c r="BK6" s="653"/>
      <c r="BL6" s="653"/>
      <c r="BM6" s="653"/>
      <c r="BN6" s="653"/>
    </row>
    <row r="7" spans="1:66" ht="25.5" customHeight="1" x14ac:dyDescent="0.2">
      <c r="A7" s="651" t="s">
        <v>405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1"/>
      <c r="AE7" s="651"/>
      <c r="AF7" s="651"/>
      <c r="AG7" s="651"/>
      <c r="AH7" s="651"/>
      <c r="AI7" s="651"/>
      <c r="AJ7" s="651"/>
      <c r="AK7" s="651"/>
      <c r="AL7" s="651"/>
      <c r="AM7" s="651"/>
      <c r="AN7" s="651"/>
      <c r="AO7" s="651"/>
      <c r="AP7" s="651"/>
      <c r="AQ7" s="651"/>
      <c r="AR7" s="651"/>
      <c r="AS7" s="651"/>
      <c r="AT7" s="651"/>
      <c r="AU7" s="651"/>
      <c r="AV7" s="651"/>
      <c r="AW7" s="651"/>
      <c r="AX7" s="651"/>
      <c r="AY7" s="651"/>
      <c r="AZ7" s="651"/>
      <c r="BA7" s="651"/>
      <c r="BB7" s="651"/>
      <c r="BC7" s="651"/>
      <c r="BD7" s="651"/>
      <c r="BE7" s="651"/>
      <c r="BF7" s="651"/>
      <c r="BG7" s="651"/>
      <c r="BH7" s="651"/>
      <c r="BI7" s="651"/>
      <c r="BJ7" s="651"/>
      <c r="BK7" s="651"/>
      <c r="BL7" s="651"/>
      <c r="BM7" s="651"/>
      <c r="BN7" s="651"/>
    </row>
    <row r="8" spans="1:66" s="3" customFormat="1" ht="15.75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671" t="s">
        <v>406</v>
      </c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1"/>
      <c r="AC8" s="671"/>
      <c r="AD8" s="671"/>
      <c r="AE8" s="671"/>
      <c r="AF8" s="671"/>
      <c r="AG8" s="671"/>
      <c r="AH8" s="671"/>
      <c r="AI8" s="671"/>
      <c r="AJ8" s="671"/>
      <c r="AK8" s="671"/>
      <c r="AL8" s="671"/>
      <c r="AM8" s="671"/>
      <c r="AN8" s="671"/>
      <c r="AO8" s="671"/>
      <c r="AP8" s="671"/>
      <c r="AQ8" s="671"/>
      <c r="AR8" s="671"/>
      <c r="AS8" s="671"/>
      <c r="AT8" s="671"/>
      <c r="AU8" s="671"/>
      <c r="AV8" s="671"/>
      <c r="AW8" s="671"/>
      <c r="AX8" s="671"/>
      <c r="AY8" s="671"/>
      <c r="AZ8" s="671"/>
      <c r="BA8" s="671"/>
      <c r="BB8" s="671"/>
      <c r="BC8" s="126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</row>
    <row r="9" spans="1:66" s="3" customFormat="1" ht="15.75" customHeight="1" x14ac:dyDescent="0.2">
      <c r="A9" s="630" t="s">
        <v>155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45" t="s">
        <v>350</v>
      </c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5"/>
      <c r="AI9" s="645"/>
      <c r="AJ9" s="645"/>
      <c r="AK9" s="645"/>
      <c r="AL9" s="645"/>
      <c r="AM9" s="645"/>
      <c r="AN9" s="645"/>
      <c r="AO9" s="645"/>
      <c r="AP9" s="645"/>
      <c r="AQ9" s="645"/>
      <c r="AR9" s="645"/>
      <c r="AS9" s="645"/>
      <c r="AT9" s="645"/>
      <c r="AU9" s="645"/>
      <c r="AV9" s="645"/>
      <c r="AW9" s="645"/>
      <c r="AX9" s="645"/>
      <c r="AY9" s="645"/>
      <c r="AZ9" s="645"/>
      <c r="BA9" s="645"/>
      <c r="BB9" s="645"/>
      <c r="BC9" s="646" t="s">
        <v>50</v>
      </c>
      <c r="BD9" s="646"/>
      <c r="BE9" s="646"/>
      <c r="BF9" s="646"/>
      <c r="BG9" s="646"/>
      <c r="BH9" s="646"/>
      <c r="BI9" s="646"/>
      <c r="BJ9" s="646"/>
      <c r="BK9" s="646"/>
      <c r="BL9" s="646"/>
      <c r="BM9" s="646"/>
      <c r="BN9" s="646"/>
    </row>
    <row r="10" spans="1:66" s="3" customFormat="1" ht="15.75" customHeight="1" x14ac:dyDescent="0.2">
      <c r="A10" s="630" t="s">
        <v>152</v>
      </c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28" t="s">
        <v>333</v>
      </c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8"/>
      <c r="AS10" s="628"/>
      <c r="AT10" s="628"/>
      <c r="AU10" s="628"/>
      <c r="AV10" s="628"/>
      <c r="AW10" s="628"/>
      <c r="AX10" s="628"/>
      <c r="AY10" s="628"/>
      <c r="AZ10" s="628"/>
      <c r="BA10" s="628"/>
      <c r="BB10" s="628"/>
      <c r="BC10" s="646"/>
      <c r="BD10" s="646"/>
      <c r="BE10" s="646"/>
      <c r="BF10" s="646"/>
      <c r="BG10" s="646"/>
      <c r="BH10" s="646"/>
      <c r="BI10" s="646"/>
      <c r="BJ10" s="646"/>
      <c r="BK10" s="646"/>
      <c r="BL10" s="646"/>
      <c r="BM10" s="646"/>
      <c r="BN10" s="646"/>
    </row>
    <row r="11" spans="1:66" s="3" customFormat="1" ht="15.75" customHeight="1" x14ac:dyDescent="0.2">
      <c r="A11" s="630" t="s">
        <v>196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628"/>
      <c r="AC11" s="628"/>
      <c r="AD11" s="628"/>
      <c r="AE11" s="628"/>
      <c r="AF11" s="628"/>
      <c r="AG11" s="628"/>
      <c r="AH11" s="628"/>
      <c r="AI11" s="628"/>
      <c r="AJ11" s="628"/>
      <c r="AK11" s="628"/>
      <c r="AL11" s="628"/>
      <c r="AM11" s="628"/>
      <c r="AN11" s="628"/>
      <c r="AO11" s="628"/>
      <c r="AP11" s="628"/>
      <c r="AQ11" s="628"/>
      <c r="AR11" s="628"/>
      <c r="AS11" s="628"/>
      <c r="AT11" s="628"/>
      <c r="AU11" s="628"/>
      <c r="AV11" s="628"/>
      <c r="AW11" s="628"/>
      <c r="AX11" s="628"/>
      <c r="AY11" s="628"/>
      <c r="AZ11" s="628"/>
      <c r="BA11" s="628"/>
      <c r="BB11" s="628"/>
      <c r="BC11" s="646"/>
      <c r="BD11" s="646"/>
      <c r="BE11" s="646"/>
      <c r="BF11" s="646"/>
      <c r="BG11" s="646"/>
      <c r="BH11" s="646"/>
      <c r="BI11" s="646"/>
      <c r="BJ11" s="646"/>
      <c r="BK11" s="646"/>
      <c r="BL11" s="646"/>
      <c r="BM11" s="646"/>
      <c r="BN11" s="646"/>
    </row>
    <row r="12" spans="1:66" s="3" customFormat="1" ht="15.75" customHeight="1" x14ac:dyDescent="0.2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8"/>
      <c r="AF12" s="628"/>
      <c r="AG12" s="628"/>
      <c r="AH12" s="628"/>
      <c r="AI12" s="628"/>
      <c r="AJ12" s="628"/>
      <c r="AK12" s="628"/>
      <c r="AL12" s="628"/>
      <c r="AM12" s="628"/>
      <c r="AN12" s="628"/>
      <c r="AO12" s="628"/>
      <c r="AP12" s="628"/>
      <c r="AQ12" s="628"/>
      <c r="AR12" s="628"/>
      <c r="AS12" s="628"/>
      <c r="AT12" s="628"/>
      <c r="AU12" s="628"/>
      <c r="AV12" s="628"/>
      <c r="AW12" s="628"/>
      <c r="AX12" s="628"/>
      <c r="AY12" s="628"/>
      <c r="AZ12" s="628"/>
      <c r="BA12" s="628"/>
      <c r="BB12" s="628"/>
      <c r="BC12" s="646"/>
      <c r="BD12" s="646"/>
      <c r="BE12" s="646"/>
      <c r="BF12" s="646"/>
      <c r="BG12" s="646"/>
      <c r="BH12" s="646"/>
      <c r="BI12" s="646"/>
      <c r="BJ12" s="646"/>
      <c r="BK12" s="646"/>
      <c r="BL12" s="646"/>
      <c r="BM12" s="646"/>
      <c r="BN12" s="646"/>
    </row>
    <row r="13" spans="1:66" s="3" customFormat="1" ht="15.75" customHeight="1" x14ac:dyDescent="0.2">
      <c r="A13" s="630" t="s">
        <v>47</v>
      </c>
      <c r="B13" s="630"/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28" t="s">
        <v>153</v>
      </c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8"/>
      <c r="AS13" s="628"/>
      <c r="AT13" s="628"/>
      <c r="AU13" s="628"/>
      <c r="AV13" s="628"/>
      <c r="AW13" s="628"/>
      <c r="AX13" s="628"/>
      <c r="AY13" s="628"/>
      <c r="AZ13" s="628"/>
      <c r="BA13" s="628"/>
      <c r="BB13" s="628"/>
      <c r="BC13" s="647" t="s">
        <v>353</v>
      </c>
      <c r="BD13" s="648"/>
      <c r="BE13" s="648"/>
      <c r="BF13" s="648"/>
      <c r="BG13" s="648"/>
      <c r="BH13" s="648"/>
      <c r="BI13" s="648"/>
      <c r="BJ13" s="648"/>
      <c r="BK13" s="648"/>
      <c r="BL13" s="648"/>
      <c r="BM13" s="648"/>
      <c r="BN13" s="648"/>
    </row>
    <row r="14" spans="1:66" s="3" customFormat="1" ht="15.75" customHeight="1" x14ac:dyDescent="0.2">
      <c r="A14" s="630" t="s">
        <v>156</v>
      </c>
      <c r="B14" s="630"/>
      <c r="C14" s="630"/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28" t="s">
        <v>158</v>
      </c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  <c r="AF14" s="628"/>
      <c r="AG14" s="628"/>
      <c r="AH14" s="628"/>
      <c r="AI14" s="628"/>
      <c r="AJ14" s="628"/>
      <c r="AK14" s="628"/>
      <c r="AL14" s="628"/>
      <c r="AM14" s="628"/>
      <c r="AN14" s="628"/>
      <c r="AO14" s="628"/>
      <c r="AP14" s="628"/>
      <c r="AQ14" s="628"/>
      <c r="AR14" s="628"/>
      <c r="AS14" s="628"/>
      <c r="AT14" s="628"/>
      <c r="AU14" s="628"/>
      <c r="AV14" s="628"/>
      <c r="AW14" s="628"/>
      <c r="AX14" s="628"/>
      <c r="AY14" s="628"/>
      <c r="AZ14" s="628"/>
      <c r="BA14" s="628"/>
      <c r="BB14" s="628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</row>
    <row r="15" spans="1:66" s="3" customFormat="1" ht="15.75" customHeight="1" x14ac:dyDescent="0.2">
      <c r="A15" s="630" t="s">
        <v>48</v>
      </c>
      <c r="B15" s="630"/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28" t="s">
        <v>105</v>
      </c>
      <c r="P15" s="628"/>
      <c r="Q15" s="628"/>
      <c r="R15" s="628"/>
      <c r="S15" s="628"/>
      <c r="T15" s="628"/>
      <c r="U15" s="628"/>
      <c r="V15" s="628"/>
      <c r="W15" s="628"/>
      <c r="X15" s="628"/>
      <c r="Y15" s="628"/>
      <c r="Z15" s="628"/>
      <c r="AA15" s="628"/>
      <c r="AB15" s="628"/>
      <c r="AC15" s="628"/>
      <c r="AD15" s="628"/>
      <c r="AE15" s="628"/>
      <c r="AF15" s="628"/>
      <c r="AG15" s="628"/>
      <c r="AH15" s="628"/>
      <c r="AI15" s="628"/>
      <c r="AJ15" s="628"/>
      <c r="AK15" s="628"/>
      <c r="AL15" s="628"/>
      <c r="AM15" s="628"/>
      <c r="AN15" s="628"/>
      <c r="AO15" s="628"/>
      <c r="AP15" s="628"/>
      <c r="AQ15" s="628"/>
      <c r="AR15" s="628"/>
      <c r="AS15" s="628"/>
      <c r="AT15" s="628"/>
      <c r="AU15" s="628"/>
      <c r="AV15" s="628"/>
      <c r="AW15" s="628"/>
      <c r="AX15" s="628"/>
      <c r="AY15" s="628"/>
      <c r="AZ15" s="628"/>
      <c r="BA15" s="628"/>
      <c r="BB15" s="628"/>
      <c r="BC15" s="126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</row>
    <row r="16" spans="1:66" ht="15.75" customHeight="1" x14ac:dyDescent="0.2">
      <c r="A16" s="630" t="s">
        <v>256</v>
      </c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1">
        <v>3</v>
      </c>
      <c r="P16" s="631"/>
      <c r="Q16" s="629" t="s">
        <v>257</v>
      </c>
      <c r="R16" s="629"/>
      <c r="S16" s="629"/>
      <c r="T16" s="631">
        <v>10</v>
      </c>
      <c r="U16" s="631"/>
      <c r="V16" s="659" t="s">
        <v>258</v>
      </c>
      <c r="W16" s="659"/>
      <c r="X16" s="659"/>
      <c r="Y16" s="659"/>
      <c r="Z16" s="659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27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</row>
    <row r="17" spans="1:66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38" t="s">
        <v>49</v>
      </c>
      <c r="P17" s="638"/>
      <c r="Q17" s="638"/>
      <c r="R17" s="638"/>
      <c r="S17" s="638"/>
      <c r="T17" s="638"/>
      <c r="U17" s="638"/>
      <c r="V17" s="638"/>
      <c r="W17" s="638"/>
      <c r="X17" s="638"/>
      <c r="Y17" s="638"/>
      <c r="Z17" s="638"/>
      <c r="AA17" s="638"/>
      <c r="AB17" s="638"/>
      <c r="AC17" s="638"/>
      <c r="AD17" s="638"/>
      <c r="AE17" s="638"/>
      <c r="AF17" s="638"/>
      <c r="AG17" s="638"/>
      <c r="AH17" s="638"/>
      <c r="AI17" s="638"/>
      <c r="AJ17" s="638"/>
      <c r="AK17" s="638"/>
      <c r="AL17" s="638"/>
      <c r="AM17" s="638"/>
      <c r="AN17" s="638"/>
      <c r="AO17" s="638"/>
      <c r="AP17" s="638"/>
      <c r="AQ17" s="638"/>
      <c r="AR17" s="638"/>
      <c r="AS17" s="638"/>
      <c r="AT17" s="638"/>
      <c r="AU17" s="638"/>
      <c r="AV17" s="638"/>
      <c r="AW17" s="638"/>
      <c r="AX17" s="638"/>
      <c r="AY17" s="638"/>
      <c r="AZ17" s="638"/>
      <c r="BA17" s="638"/>
      <c r="BB17" s="638"/>
      <c r="BC17" s="40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</row>
    <row r="18" spans="1:66" ht="9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</row>
    <row r="19" spans="1:66" x14ac:dyDescent="0.2">
      <c r="A19" s="623" t="s">
        <v>10</v>
      </c>
      <c r="B19" s="639" t="s">
        <v>11</v>
      </c>
      <c r="C19" s="640"/>
      <c r="D19" s="640"/>
      <c r="E19" s="641"/>
      <c r="F19" s="626" t="s">
        <v>62</v>
      </c>
      <c r="G19" s="639" t="s">
        <v>25</v>
      </c>
      <c r="H19" s="640"/>
      <c r="I19" s="641"/>
      <c r="J19" s="626" t="s">
        <v>127</v>
      </c>
      <c r="K19" s="639" t="s">
        <v>12</v>
      </c>
      <c r="L19" s="640"/>
      <c r="M19" s="640"/>
      <c r="N19" s="641"/>
      <c r="O19" s="639" t="s">
        <v>13</v>
      </c>
      <c r="P19" s="640"/>
      <c r="Q19" s="640"/>
      <c r="R19" s="641"/>
      <c r="S19" s="626" t="s">
        <v>126</v>
      </c>
      <c r="T19" s="639" t="s">
        <v>14</v>
      </c>
      <c r="U19" s="640"/>
      <c r="V19" s="641"/>
      <c r="W19" s="626" t="s">
        <v>61</v>
      </c>
      <c r="X19" s="639" t="s">
        <v>15</v>
      </c>
      <c r="Y19" s="640"/>
      <c r="Z19" s="641"/>
      <c r="AA19" s="626" t="s">
        <v>122</v>
      </c>
      <c r="AB19" s="639" t="s">
        <v>16</v>
      </c>
      <c r="AC19" s="640"/>
      <c r="AD19" s="640"/>
      <c r="AE19" s="641"/>
      <c r="AF19" s="626" t="s">
        <v>60</v>
      </c>
      <c r="AG19" s="639" t="s">
        <v>17</v>
      </c>
      <c r="AH19" s="640"/>
      <c r="AI19" s="641"/>
      <c r="AJ19" s="626" t="s">
        <v>59</v>
      </c>
      <c r="AK19" s="639" t="s">
        <v>18</v>
      </c>
      <c r="AL19" s="640"/>
      <c r="AM19" s="640"/>
      <c r="AN19" s="641"/>
      <c r="AO19" s="639" t="s">
        <v>19</v>
      </c>
      <c r="AP19" s="640"/>
      <c r="AQ19" s="640"/>
      <c r="AR19" s="641"/>
      <c r="AS19" s="626" t="s">
        <v>125</v>
      </c>
      <c r="AT19" s="639" t="s">
        <v>20</v>
      </c>
      <c r="AU19" s="640"/>
      <c r="AV19" s="641"/>
      <c r="AW19" s="626" t="s">
        <v>121</v>
      </c>
      <c r="AX19" s="639" t="s">
        <v>21</v>
      </c>
      <c r="AY19" s="640"/>
      <c r="AZ19" s="640"/>
      <c r="BA19" s="641"/>
      <c r="BB19" s="632" t="s">
        <v>55</v>
      </c>
      <c r="BC19" s="633"/>
      <c r="BD19" s="633"/>
      <c r="BE19" s="633"/>
      <c r="BF19" s="633"/>
      <c r="BG19" s="633"/>
      <c r="BH19" s="633"/>
      <c r="BI19" s="633"/>
      <c r="BJ19" s="633"/>
      <c r="BK19" s="633"/>
      <c r="BL19" s="633"/>
      <c r="BM19" s="633"/>
      <c r="BN19" s="634"/>
    </row>
    <row r="20" spans="1:66" ht="15.75" customHeight="1" x14ac:dyDescent="0.2">
      <c r="A20" s="624"/>
      <c r="B20" s="642"/>
      <c r="C20" s="643"/>
      <c r="D20" s="643"/>
      <c r="E20" s="644"/>
      <c r="F20" s="627"/>
      <c r="G20" s="642"/>
      <c r="H20" s="643"/>
      <c r="I20" s="644"/>
      <c r="J20" s="627"/>
      <c r="K20" s="642"/>
      <c r="L20" s="643"/>
      <c r="M20" s="643"/>
      <c r="N20" s="644"/>
      <c r="O20" s="642"/>
      <c r="P20" s="643"/>
      <c r="Q20" s="643"/>
      <c r="R20" s="644"/>
      <c r="S20" s="627"/>
      <c r="T20" s="642"/>
      <c r="U20" s="643"/>
      <c r="V20" s="644"/>
      <c r="W20" s="627"/>
      <c r="X20" s="642"/>
      <c r="Y20" s="643"/>
      <c r="Z20" s="644"/>
      <c r="AA20" s="627"/>
      <c r="AB20" s="642"/>
      <c r="AC20" s="643"/>
      <c r="AD20" s="643"/>
      <c r="AE20" s="644"/>
      <c r="AF20" s="627"/>
      <c r="AG20" s="642"/>
      <c r="AH20" s="643"/>
      <c r="AI20" s="644"/>
      <c r="AJ20" s="627"/>
      <c r="AK20" s="642"/>
      <c r="AL20" s="643"/>
      <c r="AM20" s="643"/>
      <c r="AN20" s="644"/>
      <c r="AO20" s="642"/>
      <c r="AP20" s="643"/>
      <c r="AQ20" s="643"/>
      <c r="AR20" s="644"/>
      <c r="AS20" s="627"/>
      <c r="AT20" s="642"/>
      <c r="AU20" s="643"/>
      <c r="AV20" s="644"/>
      <c r="AW20" s="627"/>
      <c r="AX20" s="642"/>
      <c r="AY20" s="643"/>
      <c r="AZ20" s="643"/>
      <c r="BA20" s="644"/>
      <c r="BB20" s="660" t="s">
        <v>8</v>
      </c>
      <c r="BC20" s="661"/>
      <c r="BD20" s="662"/>
      <c r="BE20" s="660" t="s">
        <v>280</v>
      </c>
      <c r="BF20" s="661"/>
      <c r="BG20" s="662"/>
      <c r="BH20" s="635" t="s">
        <v>6</v>
      </c>
      <c r="BI20" s="635" t="s">
        <v>134</v>
      </c>
      <c r="BJ20" s="635" t="s">
        <v>44</v>
      </c>
      <c r="BK20" s="635" t="s">
        <v>56</v>
      </c>
      <c r="BL20" s="635" t="s">
        <v>57</v>
      </c>
      <c r="BM20" s="635" t="s">
        <v>45</v>
      </c>
      <c r="BN20" s="635" t="s">
        <v>1</v>
      </c>
    </row>
    <row r="21" spans="1:66" ht="15.75" customHeight="1" x14ac:dyDescent="0.2">
      <c r="A21" s="624"/>
      <c r="B21" s="7">
        <v>1</v>
      </c>
      <c r="C21" s="7">
        <v>8</v>
      </c>
      <c r="D21" s="7">
        <v>15</v>
      </c>
      <c r="E21" s="7">
        <v>22</v>
      </c>
      <c r="F21" s="669" t="s">
        <v>114</v>
      </c>
      <c r="G21" s="7">
        <v>6</v>
      </c>
      <c r="H21" s="7">
        <v>13</v>
      </c>
      <c r="I21" s="7">
        <v>20</v>
      </c>
      <c r="J21" s="669" t="s">
        <v>115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69" t="s">
        <v>116</v>
      </c>
      <c r="T21" s="7">
        <v>5</v>
      </c>
      <c r="U21" s="7">
        <v>12</v>
      </c>
      <c r="V21" s="7">
        <v>19</v>
      </c>
      <c r="W21" s="669" t="s">
        <v>117</v>
      </c>
      <c r="X21" s="7">
        <v>2</v>
      </c>
      <c r="Y21" s="7">
        <v>9</v>
      </c>
      <c r="Z21" s="7">
        <v>16</v>
      </c>
      <c r="AA21" s="669" t="s">
        <v>123</v>
      </c>
      <c r="AB21" s="7">
        <v>2</v>
      </c>
      <c r="AC21" s="7">
        <v>9</v>
      </c>
      <c r="AD21" s="7">
        <v>16</v>
      </c>
      <c r="AE21" s="7">
        <v>23</v>
      </c>
      <c r="AF21" s="669" t="s">
        <v>119</v>
      </c>
      <c r="AG21" s="7">
        <v>6</v>
      </c>
      <c r="AH21" s="7">
        <v>13</v>
      </c>
      <c r="AI21" s="7">
        <v>20</v>
      </c>
      <c r="AJ21" s="669" t="s">
        <v>120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69" t="s">
        <v>124</v>
      </c>
      <c r="AT21" s="7">
        <v>6</v>
      </c>
      <c r="AU21" s="7">
        <v>13</v>
      </c>
      <c r="AV21" s="7">
        <v>20</v>
      </c>
      <c r="AW21" s="669" t="s">
        <v>118</v>
      </c>
      <c r="AX21" s="7">
        <v>2</v>
      </c>
      <c r="AY21" s="7">
        <v>9</v>
      </c>
      <c r="AZ21" s="7">
        <v>16</v>
      </c>
      <c r="BA21" s="7">
        <v>23</v>
      </c>
      <c r="BB21" s="663"/>
      <c r="BC21" s="664"/>
      <c r="BD21" s="665"/>
      <c r="BE21" s="663"/>
      <c r="BF21" s="664"/>
      <c r="BG21" s="665"/>
      <c r="BH21" s="636"/>
      <c r="BI21" s="636"/>
      <c r="BJ21" s="636"/>
      <c r="BK21" s="636"/>
      <c r="BL21" s="636"/>
      <c r="BM21" s="636"/>
      <c r="BN21" s="636"/>
    </row>
    <row r="22" spans="1:66" ht="18" customHeight="1" x14ac:dyDescent="0.2">
      <c r="A22" s="624"/>
      <c r="B22" s="4">
        <v>7</v>
      </c>
      <c r="C22" s="4">
        <v>14</v>
      </c>
      <c r="D22" s="4">
        <v>21</v>
      </c>
      <c r="E22" s="4">
        <v>28</v>
      </c>
      <c r="F22" s="670"/>
      <c r="G22" s="4">
        <v>12</v>
      </c>
      <c r="H22" s="4">
        <v>19</v>
      </c>
      <c r="I22" s="4">
        <v>26</v>
      </c>
      <c r="J22" s="670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670"/>
      <c r="T22" s="4">
        <v>11</v>
      </c>
      <c r="U22" s="4">
        <v>18</v>
      </c>
      <c r="V22" s="4">
        <v>25</v>
      </c>
      <c r="W22" s="670"/>
      <c r="X22" s="4">
        <v>8</v>
      </c>
      <c r="Y22" s="4">
        <v>15</v>
      </c>
      <c r="Z22" s="4">
        <v>22</v>
      </c>
      <c r="AA22" s="670"/>
      <c r="AB22" s="4">
        <v>8</v>
      </c>
      <c r="AC22" s="4">
        <v>15</v>
      </c>
      <c r="AD22" s="4">
        <v>22</v>
      </c>
      <c r="AE22" s="4">
        <v>29</v>
      </c>
      <c r="AF22" s="670"/>
      <c r="AG22" s="4">
        <v>12</v>
      </c>
      <c r="AH22" s="4">
        <v>19</v>
      </c>
      <c r="AI22" s="4">
        <v>26</v>
      </c>
      <c r="AJ22" s="670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670"/>
      <c r="AT22" s="4">
        <v>12</v>
      </c>
      <c r="AU22" s="4">
        <v>19</v>
      </c>
      <c r="AV22" s="4">
        <v>26</v>
      </c>
      <c r="AW22" s="670"/>
      <c r="AX22" s="4">
        <v>8</v>
      </c>
      <c r="AY22" s="4">
        <v>15</v>
      </c>
      <c r="AZ22" s="4">
        <v>22</v>
      </c>
      <c r="BA22" s="4">
        <v>31</v>
      </c>
      <c r="BB22" s="666"/>
      <c r="BC22" s="667"/>
      <c r="BD22" s="668"/>
      <c r="BE22" s="666"/>
      <c r="BF22" s="667"/>
      <c r="BG22" s="668"/>
      <c r="BH22" s="636"/>
      <c r="BI22" s="636"/>
      <c r="BJ22" s="636"/>
      <c r="BK22" s="636"/>
      <c r="BL22" s="636"/>
      <c r="BM22" s="636"/>
      <c r="BN22" s="636"/>
    </row>
    <row r="23" spans="1:66" ht="15.75" customHeight="1" x14ac:dyDescent="0.2">
      <c r="A23" s="625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76</v>
      </c>
      <c r="BC23" s="10" t="s">
        <v>33</v>
      </c>
      <c r="BD23" s="11" t="s">
        <v>58</v>
      </c>
      <c r="BE23" s="10" t="s">
        <v>76</v>
      </c>
      <c r="BF23" s="10" t="s">
        <v>33</v>
      </c>
      <c r="BG23" s="11" t="s">
        <v>58</v>
      </c>
      <c r="BH23" s="637"/>
      <c r="BI23" s="637"/>
      <c r="BJ23" s="637"/>
      <c r="BK23" s="637"/>
      <c r="BL23" s="637"/>
      <c r="BM23" s="637"/>
      <c r="BN23" s="637"/>
    </row>
    <row r="24" spans="1:66" ht="15.75" customHeight="1" x14ac:dyDescent="0.2">
      <c r="A24" s="9">
        <v>1</v>
      </c>
      <c r="B24" s="41" t="s">
        <v>76</v>
      </c>
      <c r="C24" s="41" t="s">
        <v>76</v>
      </c>
      <c r="D24" s="41" t="s">
        <v>76</v>
      </c>
      <c r="E24" s="41" t="s">
        <v>76</v>
      </c>
      <c r="F24" s="41" t="s">
        <v>76</v>
      </c>
      <c r="G24" s="41" t="s">
        <v>76</v>
      </c>
      <c r="H24" s="41" t="s">
        <v>76</v>
      </c>
      <c r="I24" s="41" t="s">
        <v>76</v>
      </c>
      <c r="J24" s="41" t="s">
        <v>76</v>
      </c>
      <c r="K24" s="41" t="s">
        <v>76</v>
      </c>
      <c r="L24" s="41" t="s">
        <v>76</v>
      </c>
      <c r="M24" s="41" t="s">
        <v>76</v>
      </c>
      <c r="N24" s="41" t="s">
        <v>76</v>
      </c>
      <c r="O24" s="41" t="s">
        <v>76</v>
      </c>
      <c r="P24" s="41" t="s">
        <v>76</v>
      </c>
      <c r="Q24" s="41" t="s">
        <v>76</v>
      </c>
      <c r="R24" s="41" t="s">
        <v>76</v>
      </c>
      <c r="S24" s="41" t="s">
        <v>28</v>
      </c>
      <c r="T24" s="41" t="s">
        <v>28</v>
      </c>
      <c r="U24" s="41" t="s">
        <v>33</v>
      </c>
      <c r="V24" s="41" t="s">
        <v>33</v>
      </c>
      <c r="W24" s="41" t="s">
        <v>33</v>
      </c>
      <c r="X24" s="41" t="s">
        <v>33</v>
      </c>
      <c r="Y24" s="41" t="s">
        <v>33</v>
      </c>
      <c r="Z24" s="41" t="s">
        <v>33</v>
      </c>
      <c r="AA24" s="41" t="s">
        <v>33</v>
      </c>
      <c r="AB24" s="41" t="s">
        <v>33</v>
      </c>
      <c r="AC24" s="41" t="s">
        <v>33</v>
      </c>
      <c r="AD24" s="41" t="s">
        <v>33</v>
      </c>
      <c r="AE24" s="41" t="s">
        <v>33</v>
      </c>
      <c r="AF24" s="41" t="s">
        <v>33</v>
      </c>
      <c r="AG24" s="41" t="s">
        <v>33</v>
      </c>
      <c r="AH24" s="41" t="s">
        <v>33</v>
      </c>
      <c r="AI24" s="41" t="s">
        <v>33</v>
      </c>
      <c r="AJ24" s="41" t="s">
        <v>33</v>
      </c>
      <c r="AK24" s="41" t="s">
        <v>33</v>
      </c>
      <c r="AL24" s="41" t="s">
        <v>33</v>
      </c>
      <c r="AM24" s="41" t="s">
        <v>33</v>
      </c>
      <c r="AN24" s="41" t="s">
        <v>33</v>
      </c>
      <c r="AO24" s="41" t="s">
        <v>33</v>
      </c>
      <c r="AP24" s="41" t="s">
        <v>33</v>
      </c>
      <c r="AQ24" s="41" t="s">
        <v>211</v>
      </c>
      <c r="AR24" s="41" t="s">
        <v>211</v>
      </c>
      <c r="AS24" s="41" t="s">
        <v>28</v>
      </c>
      <c r="AT24" s="41" t="s">
        <v>28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17</v>
      </c>
      <c r="BC24" s="31">
        <f>COUNTIF(B24:BA24,"в")</f>
        <v>22</v>
      </c>
      <c r="BD24" s="32">
        <f>SUM(BB24:BC24)</f>
        <v>39</v>
      </c>
      <c r="BE24" s="31">
        <f>COUNTIF(B24:BA24,$R$31)</f>
        <v>0</v>
      </c>
      <c r="BF24" s="31">
        <f>COUNTIF(B24:BA24,$R$33)</f>
        <v>2</v>
      </c>
      <c r="BG24" s="32">
        <f>SUM(BE24:BF24)</f>
        <v>2</v>
      </c>
      <c r="BH24" s="32">
        <f>COUNTIF(B24:BA24,$AF$31)</f>
        <v>0</v>
      </c>
      <c r="BI24" s="32">
        <f>COUNTIF(B24:BA24,$AF$33)</f>
        <v>0</v>
      </c>
      <c r="BJ24" s="32">
        <f>COUNTIF(B24:BA24,$AQ$31)</f>
        <v>0</v>
      </c>
      <c r="BK24" s="32">
        <f>COUNTIF(B24:BA24,$AZ$31)</f>
        <v>0</v>
      </c>
      <c r="BL24" s="32">
        <f>COUNTIF(B24:BA24,$AQ$33)</f>
        <v>0</v>
      </c>
      <c r="BM24" s="32">
        <f>COUNTIF(B24:BA24,$AZ$33)</f>
        <v>11</v>
      </c>
      <c r="BN24" s="32">
        <f>SUM(BG24:BM24)+BD24</f>
        <v>52</v>
      </c>
    </row>
    <row r="25" spans="1:66" ht="15.75" customHeight="1" x14ac:dyDescent="0.2">
      <c r="A25" s="9">
        <v>2</v>
      </c>
      <c r="B25" s="41" t="s">
        <v>76</v>
      </c>
      <c r="C25" s="41" t="s">
        <v>76</v>
      </c>
      <c r="D25" s="41" t="s">
        <v>76</v>
      </c>
      <c r="E25" s="41" t="s">
        <v>76</v>
      </c>
      <c r="F25" s="41" t="s">
        <v>76</v>
      </c>
      <c r="G25" s="41" t="s">
        <v>76</v>
      </c>
      <c r="H25" s="41" t="s">
        <v>76</v>
      </c>
      <c r="I25" s="41" t="s">
        <v>76</v>
      </c>
      <c r="J25" s="41" t="s">
        <v>76</v>
      </c>
      <c r="K25" s="41" t="s">
        <v>76</v>
      </c>
      <c r="L25" s="41" t="s">
        <v>76</v>
      </c>
      <c r="M25" s="41" t="s">
        <v>76</v>
      </c>
      <c r="N25" s="41" t="s">
        <v>76</v>
      </c>
      <c r="O25" s="41" t="s">
        <v>76</v>
      </c>
      <c r="P25" s="41" t="s">
        <v>76</v>
      </c>
      <c r="Q25" s="41" t="s">
        <v>76</v>
      </c>
      <c r="R25" s="41" t="s">
        <v>210</v>
      </c>
      <c r="S25" s="41" t="s">
        <v>28</v>
      </c>
      <c r="T25" s="41" t="s">
        <v>28</v>
      </c>
      <c r="U25" s="41" t="s">
        <v>33</v>
      </c>
      <c r="V25" s="41" t="s">
        <v>33</v>
      </c>
      <c r="W25" s="41" t="s">
        <v>33</v>
      </c>
      <c r="X25" s="41" t="s">
        <v>33</v>
      </c>
      <c r="Y25" s="41" t="s">
        <v>33</v>
      </c>
      <c r="Z25" s="41" t="s">
        <v>33</v>
      </c>
      <c r="AA25" s="41" t="s">
        <v>33</v>
      </c>
      <c r="AB25" s="41" t="s">
        <v>33</v>
      </c>
      <c r="AC25" s="41" t="s">
        <v>33</v>
      </c>
      <c r="AD25" s="41" t="s">
        <v>33</v>
      </c>
      <c r="AE25" s="41" t="s">
        <v>33</v>
      </c>
      <c r="AF25" s="41" t="s">
        <v>33</v>
      </c>
      <c r="AG25" s="41" t="s">
        <v>33</v>
      </c>
      <c r="AH25" s="41" t="s">
        <v>33</v>
      </c>
      <c r="AI25" s="41" t="s">
        <v>33</v>
      </c>
      <c r="AJ25" s="41" t="s">
        <v>33</v>
      </c>
      <c r="AK25" s="41" t="s">
        <v>33</v>
      </c>
      <c r="AL25" s="41" t="s">
        <v>33</v>
      </c>
      <c r="AM25" s="41" t="s">
        <v>33</v>
      </c>
      <c r="AN25" s="41" t="s">
        <v>211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51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16</v>
      </c>
      <c r="BC25" s="31">
        <f>COUNTIF(B25:BA25,"в")</f>
        <v>19</v>
      </c>
      <c r="BD25" s="32">
        <f>SUM(BB25:BC25)</f>
        <v>35</v>
      </c>
      <c r="BE25" s="31">
        <f>COUNTIF(B25:BA25,$R$31)</f>
        <v>1</v>
      </c>
      <c r="BF25" s="31">
        <f>COUNTIF(B25:BA25,$R$33)</f>
        <v>1</v>
      </c>
      <c r="BG25" s="32">
        <f>SUM(BE25:BF25)</f>
        <v>2</v>
      </c>
      <c r="BH25" s="32">
        <f>COUNTIF(A25:AZ25,$AF$31)</f>
        <v>7</v>
      </c>
      <c r="BI25" s="32">
        <f>COUNTIF(B25:BA25,$AF$33)</f>
        <v>0</v>
      </c>
      <c r="BJ25" s="32"/>
      <c r="BK25" s="32">
        <f>COUNTIF(B25:BA25,$AZ$31)</f>
        <v>0</v>
      </c>
      <c r="BL25" s="32">
        <f>COUNTIF(B25:BA25,$AQ$33)</f>
        <v>0</v>
      </c>
      <c r="BM25" s="32">
        <f>COUNTIF(B25:BA25,$AZ$33)</f>
        <v>8</v>
      </c>
      <c r="BN25" s="32">
        <f>SUM(BG25:BM25)+BD25</f>
        <v>52</v>
      </c>
    </row>
    <row r="26" spans="1:66" ht="15.75" customHeight="1" x14ac:dyDescent="0.2">
      <c r="A26" s="9">
        <v>3</v>
      </c>
      <c r="B26" s="41" t="s">
        <v>51</v>
      </c>
      <c r="C26" s="41" t="s">
        <v>51</v>
      </c>
      <c r="D26" s="41" t="s">
        <v>51</v>
      </c>
      <c r="E26" s="41" t="s">
        <v>51</v>
      </c>
      <c r="F26" s="41" t="s">
        <v>76</v>
      </c>
      <c r="G26" s="41" t="s">
        <v>76</v>
      </c>
      <c r="H26" s="41" t="s">
        <v>76</v>
      </c>
      <c r="I26" s="41" t="s">
        <v>76</v>
      </c>
      <c r="J26" s="41" t="s">
        <v>76</v>
      </c>
      <c r="K26" s="41" t="s">
        <v>76</v>
      </c>
      <c r="L26" s="41" t="s">
        <v>76</v>
      </c>
      <c r="M26" s="41" t="s">
        <v>76</v>
      </c>
      <c r="N26" s="41" t="s">
        <v>76</v>
      </c>
      <c r="O26" s="41" t="s">
        <v>76</v>
      </c>
      <c r="P26" s="41" t="s">
        <v>76</v>
      </c>
      <c r="Q26" s="41" t="s">
        <v>76</v>
      </c>
      <c r="R26" s="41" t="s">
        <v>210</v>
      </c>
      <c r="S26" s="41" t="s">
        <v>28</v>
      </c>
      <c r="T26" s="41" t="s">
        <v>28</v>
      </c>
      <c r="U26" s="41" t="s">
        <v>33</v>
      </c>
      <c r="V26" s="41" t="s">
        <v>33</v>
      </c>
      <c r="W26" s="41" t="s">
        <v>33</v>
      </c>
      <c r="X26" s="41" t="s">
        <v>33</v>
      </c>
      <c r="Y26" s="41" t="s">
        <v>33</v>
      </c>
      <c r="Z26" s="41" t="s">
        <v>33</v>
      </c>
      <c r="AA26" s="41" t="s">
        <v>33</v>
      </c>
      <c r="AB26" s="41" t="s">
        <v>33</v>
      </c>
      <c r="AC26" s="41" t="s">
        <v>211</v>
      </c>
      <c r="AD26" s="41" t="s">
        <v>28</v>
      </c>
      <c r="AE26" s="41" t="s">
        <v>28</v>
      </c>
      <c r="AF26" s="41" t="s">
        <v>28</v>
      </c>
      <c r="AG26" s="41" t="s">
        <v>28</v>
      </c>
      <c r="AH26" s="41" t="s">
        <v>28</v>
      </c>
      <c r="AI26" s="41" t="s">
        <v>28</v>
      </c>
      <c r="AJ26" s="41" t="s">
        <v>52</v>
      </c>
      <c r="AK26" s="41" t="s">
        <v>52</v>
      </c>
      <c r="AL26" s="41" t="s">
        <v>52</v>
      </c>
      <c r="AM26" s="41" t="s">
        <v>52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12</v>
      </c>
      <c r="BC26" s="31">
        <f>COUNTIF(B26:BA26,"в")</f>
        <v>8</v>
      </c>
      <c r="BD26" s="32">
        <f>SUM(BB26:BC26)</f>
        <v>20</v>
      </c>
      <c r="BE26" s="31">
        <f>COUNTIF(B26:BA26,$R$31)</f>
        <v>1</v>
      </c>
      <c r="BF26" s="31">
        <f>COUNTIF(B26:BA26,$R$33)</f>
        <v>1</v>
      </c>
      <c r="BG26" s="32">
        <f>SUM(BE26:BF26)</f>
        <v>2</v>
      </c>
      <c r="BH26" s="32">
        <f>COUNTIF(B26:BA26,$AF$31)</f>
        <v>4</v>
      </c>
      <c r="BI26" s="32">
        <f>COUNTIF(B26:BA26,$AF$33)</f>
        <v>18</v>
      </c>
      <c r="BJ26" s="32">
        <f>COUNTIF(B26:BA26,$AQ$31)</f>
        <v>0</v>
      </c>
      <c r="BK26" s="32">
        <f>COUNTIF(B26:BA26,$AZ$31)</f>
        <v>0</v>
      </c>
      <c r="BL26" s="32">
        <f>COUNTIF(B26:BA26,$AQ$33)</f>
        <v>0</v>
      </c>
      <c r="BM26" s="32">
        <f>COUNTIF(B26:BA26,$AZ$33)</f>
        <v>8</v>
      </c>
      <c r="BN26" s="32">
        <f>SUM(BG26:BM26)+BD26</f>
        <v>52</v>
      </c>
    </row>
    <row r="27" spans="1:66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52</v>
      </c>
      <c r="I27" s="41" t="s">
        <v>52</v>
      </c>
      <c r="J27" s="41" t="s">
        <v>52</v>
      </c>
      <c r="K27" s="41" t="s">
        <v>52</v>
      </c>
      <c r="L27" s="41" t="s">
        <v>52</v>
      </c>
      <c r="M27" s="41" t="s">
        <v>52</v>
      </c>
      <c r="N27" s="41" t="s">
        <v>52</v>
      </c>
      <c r="O27" s="41" t="s">
        <v>76</v>
      </c>
      <c r="P27" s="41" t="s">
        <v>76</v>
      </c>
      <c r="Q27" s="41" t="s">
        <v>76</v>
      </c>
      <c r="R27" s="41" t="s">
        <v>76</v>
      </c>
      <c r="S27" s="41" t="s">
        <v>28</v>
      </c>
      <c r="T27" s="41" t="s">
        <v>28</v>
      </c>
      <c r="U27" s="41" t="s">
        <v>33</v>
      </c>
      <c r="V27" s="41" t="s">
        <v>33</v>
      </c>
      <c r="W27" s="41" t="s">
        <v>33</v>
      </c>
      <c r="X27" s="41" t="s">
        <v>33</v>
      </c>
      <c r="Y27" s="41" t="s">
        <v>33</v>
      </c>
      <c r="Z27" s="41" t="s">
        <v>33</v>
      </c>
      <c r="AA27" s="41" t="s">
        <v>33</v>
      </c>
      <c r="AB27" s="41" t="s">
        <v>33</v>
      </c>
      <c r="AC27" s="41" t="s">
        <v>33</v>
      </c>
      <c r="AD27" s="41" t="s">
        <v>33</v>
      </c>
      <c r="AE27" s="41" t="s">
        <v>33</v>
      </c>
      <c r="AF27" s="41" t="s">
        <v>33</v>
      </c>
      <c r="AG27" s="41" t="s">
        <v>33</v>
      </c>
      <c r="AH27" s="41" t="s">
        <v>33</v>
      </c>
      <c r="AI27" s="41" t="s">
        <v>33</v>
      </c>
      <c r="AJ27" s="41" t="s">
        <v>33</v>
      </c>
      <c r="AK27" s="41" t="s">
        <v>33</v>
      </c>
      <c r="AL27" s="41" t="s">
        <v>33</v>
      </c>
      <c r="AM27" s="41" t="s">
        <v>33</v>
      </c>
      <c r="AN27" s="41" t="s">
        <v>211</v>
      </c>
      <c r="AO27" s="41" t="s">
        <v>32</v>
      </c>
      <c r="AP27" s="41" t="s">
        <v>32</v>
      </c>
      <c r="AQ27" s="41" t="s">
        <v>32</v>
      </c>
      <c r="AR27" s="41" t="s">
        <v>32</v>
      </c>
      <c r="AS27" s="41" t="s">
        <v>26</v>
      </c>
      <c r="AT27" s="41" t="s">
        <v>26</v>
      </c>
      <c r="AU27" s="41" t="s">
        <v>26</v>
      </c>
      <c r="AV27" s="41" t="s">
        <v>26</v>
      </c>
      <c r="AW27" s="41" t="s">
        <v>26</v>
      </c>
      <c r="AX27" s="41" t="s">
        <v>26</v>
      </c>
      <c r="AY27" s="41" t="s">
        <v>26</v>
      </c>
      <c r="AZ27" s="41" t="s">
        <v>26</v>
      </c>
      <c r="BA27" s="41" t="s">
        <v>26</v>
      </c>
      <c r="BB27" s="31">
        <f>COUNTIF(B27:BA27,"о")</f>
        <v>4</v>
      </c>
      <c r="BC27" s="31">
        <f>COUNTIF(B27:BA27,"в")</f>
        <v>19</v>
      </c>
      <c r="BD27" s="32">
        <f>SUM(BB27:BC27)</f>
        <v>23</v>
      </c>
      <c r="BE27" s="31">
        <f>COUNTIF(B27:BA27,$R$31)</f>
        <v>0</v>
      </c>
      <c r="BF27" s="31">
        <f>COUNTIF(B27:BA27,$R$33)</f>
        <v>1</v>
      </c>
      <c r="BG27" s="32">
        <f>SUM(BE27:BF27)</f>
        <v>1</v>
      </c>
      <c r="BH27" s="32">
        <f>COUNTIF(B27:BA27,$AF$31)</f>
        <v>0</v>
      </c>
      <c r="BI27" s="32">
        <f>COUNTIF(B27:BA27,$AF$33)</f>
        <v>13</v>
      </c>
      <c r="BJ27" s="32">
        <f>COUNTIF(B27:BA27,$AQ$31)</f>
        <v>4</v>
      </c>
      <c r="BK27" s="32">
        <f>COUNTIF(B27:BA27,$AZ$31)</f>
        <v>0</v>
      </c>
      <c r="BL27" s="32">
        <f>COUNTIF(B27:BA27,$AQ$33)</f>
        <v>0</v>
      </c>
      <c r="BM27" s="32">
        <f>COUNTIF(B27:BA27,$AZ$33)</f>
        <v>2</v>
      </c>
      <c r="BN27" s="32">
        <f>SUM(BG27:BM27)+BD27</f>
        <v>43</v>
      </c>
    </row>
    <row r="28" spans="1:66" ht="15.75" hidden="1" customHeight="1" x14ac:dyDescent="0.2">
      <c r="A28" s="9">
        <v>5</v>
      </c>
      <c r="B28" s="41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41" t="s">
        <v>26</v>
      </c>
      <c r="N28" s="41" t="s">
        <v>26</v>
      </c>
      <c r="O28" s="41" t="s">
        <v>26</v>
      </c>
      <c r="P28" s="41" t="s">
        <v>26</v>
      </c>
      <c r="Q28" s="41" t="s">
        <v>26</v>
      </c>
      <c r="R28" s="41" t="s">
        <v>26</v>
      </c>
      <c r="S28" s="41" t="s">
        <v>26</v>
      </c>
      <c r="T28" s="41" t="s">
        <v>26</v>
      </c>
      <c r="U28" s="41" t="s">
        <v>26</v>
      </c>
      <c r="V28" s="41" t="s">
        <v>26</v>
      </c>
      <c r="W28" s="41" t="s">
        <v>26</v>
      </c>
      <c r="X28" s="41" t="s">
        <v>26</v>
      </c>
      <c r="Y28" s="41" t="s">
        <v>26</v>
      </c>
      <c r="Z28" s="41" t="s">
        <v>26</v>
      </c>
      <c r="AA28" s="41" t="s">
        <v>26</v>
      </c>
      <c r="AB28" s="41" t="s">
        <v>26</v>
      </c>
      <c r="AC28" s="41" t="s">
        <v>26</v>
      </c>
      <c r="AD28" s="41" t="s">
        <v>26</v>
      </c>
      <c r="AE28" s="41" t="s">
        <v>26</v>
      </c>
      <c r="AF28" s="41" t="s">
        <v>26</v>
      </c>
      <c r="AG28" s="41" t="s">
        <v>26</v>
      </c>
      <c r="AH28" s="41" t="s">
        <v>26</v>
      </c>
      <c r="AI28" s="41" t="s">
        <v>26</v>
      </c>
      <c r="AJ28" s="41" t="s">
        <v>26</v>
      </c>
      <c r="AK28" s="41" t="s">
        <v>26</v>
      </c>
      <c r="AL28" s="41" t="s">
        <v>26</v>
      </c>
      <c r="AM28" s="41" t="s">
        <v>26</v>
      </c>
      <c r="AN28" s="41" t="s">
        <v>26</v>
      </c>
      <c r="AO28" s="41" t="s">
        <v>26</v>
      </c>
      <c r="AP28" s="41" t="s">
        <v>26</v>
      </c>
      <c r="AQ28" s="41" t="s">
        <v>26</v>
      </c>
      <c r="AR28" s="41" t="s">
        <v>26</v>
      </c>
      <c r="AS28" s="41" t="s">
        <v>26</v>
      </c>
      <c r="AT28" s="41" t="s">
        <v>26</v>
      </c>
      <c r="AU28" s="41" t="s">
        <v>26</v>
      </c>
      <c r="AV28" s="41" t="s">
        <v>26</v>
      </c>
      <c r="AW28" s="41" t="s">
        <v>26</v>
      </c>
      <c r="AX28" s="41" t="s">
        <v>26</v>
      </c>
      <c r="AY28" s="41" t="s">
        <v>26</v>
      </c>
      <c r="AZ28" s="41" t="s">
        <v>26</v>
      </c>
      <c r="BA28" s="41" t="s">
        <v>26</v>
      </c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0</v>
      </c>
      <c r="BG28" s="32">
        <f>SUM(BE28:BF28)</f>
        <v>0</v>
      </c>
      <c r="BH28" s="32">
        <f>COUNTIF(B28:BA28,$AF$31)</f>
        <v>0</v>
      </c>
      <c r="BI28" s="32">
        <f>COUNTIF(B28:BA28,$AF$33)</f>
        <v>0</v>
      </c>
      <c r="BJ28" s="32">
        <f>COUNTIF(B28:BA28,$AQ$31)</f>
        <v>0</v>
      </c>
      <c r="BK28" s="32">
        <f>COUNTIF(B28:BA28,$AZ$31)</f>
        <v>0</v>
      </c>
      <c r="BL28" s="32">
        <f>COUNTIF(B28:BA28,$AQ$33)</f>
        <v>0</v>
      </c>
      <c r="BM28" s="32">
        <f>COUNTIF(B28:BA28,$AZ$33)</f>
        <v>0</v>
      </c>
      <c r="BN28" s="32">
        <f>SUM(BG28:BM28)+BD28</f>
        <v>0</v>
      </c>
    </row>
    <row r="29" spans="1:66" ht="15.7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674" t="s">
        <v>54</v>
      </c>
      <c r="AZ29" s="674"/>
      <c r="BA29" s="674"/>
      <c r="BB29" s="13">
        <f t="shared" ref="BB29:BN29" si="0">SUM(BB24:BB28)</f>
        <v>49</v>
      </c>
      <c r="BC29" s="13">
        <f t="shared" si="0"/>
        <v>68</v>
      </c>
      <c r="BD29" s="13">
        <f t="shared" si="0"/>
        <v>117</v>
      </c>
      <c r="BE29" s="13">
        <f t="shared" si="0"/>
        <v>2</v>
      </c>
      <c r="BF29" s="13">
        <f t="shared" si="0"/>
        <v>5</v>
      </c>
      <c r="BG29" s="13">
        <f t="shared" si="0"/>
        <v>7</v>
      </c>
      <c r="BH29" s="13">
        <f t="shared" si="0"/>
        <v>11</v>
      </c>
      <c r="BI29" s="13">
        <f t="shared" si="0"/>
        <v>31</v>
      </c>
      <c r="BJ29" s="13">
        <f t="shared" si="0"/>
        <v>4</v>
      </c>
      <c r="BK29" s="13">
        <f t="shared" si="0"/>
        <v>0</v>
      </c>
      <c r="BL29" s="13">
        <f t="shared" si="0"/>
        <v>0</v>
      </c>
      <c r="BM29" s="13">
        <f t="shared" si="0"/>
        <v>29</v>
      </c>
      <c r="BN29" s="13">
        <f t="shared" si="0"/>
        <v>199</v>
      </c>
    </row>
    <row r="30" spans="1:66" ht="10.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</row>
    <row r="31" spans="1:66" s="5" customFormat="1" ht="11.25" customHeight="1" x14ac:dyDescent="0.2">
      <c r="A31" s="42"/>
      <c r="B31" s="30" t="s">
        <v>76</v>
      </c>
      <c r="C31" s="43" t="s">
        <v>22</v>
      </c>
      <c r="D31" s="622" t="s">
        <v>77</v>
      </c>
      <c r="E31" s="622"/>
      <c r="F31" s="622"/>
      <c r="G31" s="622"/>
      <c r="H31" s="622"/>
      <c r="I31" s="622"/>
      <c r="J31" s="622"/>
      <c r="K31" s="622"/>
      <c r="L31" s="622"/>
      <c r="M31" s="622"/>
      <c r="N31" s="622"/>
      <c r="O31" s="622"/>
      <c r="P31" s="622"/>
      <c r="Q31" s="622"/>
      <c r="R31" s="24" t="s">
        <v>210</v>
      </c>
      <c r="S31" s="43" t="s">
        <v>22</v>
      </c>
      <c r="T31" s="622" t="s">
        <v>208</v>
      </c>
      <c r="U31" s="622"/>
      <c r="V31" s="622"/>
      <c r="W31" s="622"/>
      <c r="X31" s="622"/>
      <c r="Y31" s="622"/>
      <c r="Z31" s="622"/>
      <c r="AA31" s="622"/>
      <c r="AB31" s="622"/>
      <c r="AC31" s="622"/>
      <c r="AD31" s="622"/>
      <c r="AE31" s="622"/>
      <c r="AF31" s="26" t="s">
        <v>51</v>
      </c>
      <c r="AG31" s="43" t="s">
        <v>22</v>
      </c>
      <c r="AH31" s="672" t="s">
        <v>23</v>
      </c>
      <c r="AI31" s="672"/>
      <c r="AJ31" s="672"/>
      <c r="AK31" s="672"/>
      <c r="AL31" s="672"/>
      <c r="AM31" s="672"/>
      <c r="AN31" s="672"/>
      <c r="AO31" s="672"/>
      <c r="AP31" s="672"/>
      <c r="AQ31" s="24" t="s">
        <v>32</v>
      </c>
      <c r="AR31" s="43" t="s">
        <v>22</v>
      </c>
      <c r="AS31" s="622" t="s">
        <v>407</v>
      </c>
      <c r="AT31" s="622"/>
      <c r="AU31" s="622"/>
      <c r="AV31" s="622"/>
      <c r="AW31" s="622"/>
      <c r="AX31" s="622"/>
      <c r="AY31" s="622"/>
      <c r="AZ31" s="393"/>
      <c r="BA31" s="43"/>
      <c r="BB31" s="622"/>
      <c r="BC31" s="622"/>
      <c r="BD31" s="622"/>
      <c r="BE31" s="622"/>
      <c r="BF31" s="622"/>
      <c r="BG31" s="622"/>
      <c r="BH31" s="622"/>
      <c r="BI31" s="42"/>
      <c r="BJ31" s="42"/>
      <c r="BK31" s="42"/>
      <c r="BL31" s="42"/>
      <c r="BM31" s="42"/>
      <c r="BN31" s="42"/>
    </row>
    <row r="32" spans="1:66" s="5" customFormat="1" ht="11.25" x14ac:dyDescent="0.2">
      <c r="A32" s="42"/>
      <c r="B32" s="42"/>
      <c r="C32" s="42"/>
      <c r="D32" s="4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4"/>
      <c r="V32" s="43"/>
      <c r="W32" s="44"/>
      <c r="X32" s="44"/>
      <c r="Y32" s="43"/>
      <c r="Z32" s="44"/>
      <c r="AA32" s="44"/>
      <c r="AB32" s="43"/>
      <c r="AC32" s="44"/>
      <c r="AD32" s="44"/>
      <c r="AE32" s="43"/>
      <c r="AF32" s="44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</row>
    <row r="33" spans="1:66" s="5" customFormat="1" ht="11.25" customHeight="1" x14ac:dyDescent="0.2">
      <c r="A33" s="42"/>
      <c r="B33" s="30" t="s">
        <v>33</v>
      </c>
      <c r="C33" s="43" t="s">
        <v>22</v>
      </c>
      <c r="D33" s="622" t="s">
        <v>78</v>
      </c>
      <c r="E33" s="622"/>
      <c r="F33" s="622"/>
      <c r="G33" s="622"/>
      <c r="H33" s="622"/>
      <c r="I33" s="622"/>
      <c r="J33" s="622"/>
      <c r="K33" s="622"/>
      <c r="L33" s="622"/>
      <c r="M33" s="622"/>
      <c r="N33" s="622"/>
      <c r="O33" s="622"/>
      <c r="P33" s="622"/>
      <c r="Q33" s="622"/>
      <c r="R33" s="24" t="s">
        <v>211</v>
      </c>
      <c r="S33" s="43" t="s">
        <v>22</v>
      </c>
      <c r="T33" s="622" t="s">
        <v>209</v>
      </c>
      <c r="U33" s="622"/>
      <c r="V33" s="622"/>
      <c r="W33" s="622"/>
      <c r="X33" s="622"/>
      <c r="Y33" s="622"/>
      <c r="Z33" s="622"/>
      <c r="AA33" s="622"/>
      <c r="AB33" s="622"/>
      <c r="AC33" s="622"/>
      <c r="AD33" s="622"/>
      <c r="AE33" s="622"/>
      <c r="AF33" s="26" t="s">
        <v>52</v>
      </c>
      <c r="AG33" s="43" t="s">
        <v>22</v>
      </c>
      <c r="AH33" s="672" t="s">
        <v>207</v>
      </c>
      <c r="AI33" s="672"/>
      <c r="AJ33" s="672"/>
      <c r="AK33" s="672"/>
      <c r="AL33" s="672"/>
      <c r="AM33" s="672"/>
      <c r="AN33" s="672"/>
      <c r="AO33" s="672"/>
      <c r="AP33" s="672"/>
      <c r="AQ33" s="24" t="s">
        <v>29</v>
      </c>
      <c r="AR33" s="43" t="s">
        <v>22</v>
      </c>
      <c r="AS33" s="672" t="s">
        <v>44</v>
      </c>
      <c r="AT33" s="672"/>
      <c r="AU33" s="672"/>
      <c r="AV33" s="672"/>
      <c r="AW33" s="672"/>
      <c r="AX33" s="672"/>
      <c r="AY33" s="672"/>
      <c r="AZ33" s="27" t="s">
        <v>28</v>
      </c>
      <c r="BA33" s="43" t="s">
        <v>22</v>
      </c>
      <c r="BB33" s="672" t="s">
        <v>206</v>
      </c>
      <c r="BC33" s="672"/>
      <c r="BD33" s="672"/>
      <c r="BE33" s="672"/>
      <c r="BF33" s="672"/>
      <c r="BG33" s="673"/>
      <c r="BH33" s="12" t="s">
        <v>26</v>
      </c>
      <c r="BI33" s="43" t="s">
        <v>22</v>
      </c>
      <c r="BJ33" s="672" t="s">
        <v>43</v>
      </c>
      <c r="BK33" s="672"/>
      <c r="BL33" s="672"/>
      <c r="BM33" s="672"/>
      <c r="BN33" s="672"/>
    </row>
    <row r="34" spans="1:66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</row>
    <row r="35" spans="1:66" hidden="1" x14ac:dyDescent="0.2">
      <c r="A35" s="23"/>
      <c r="B35" s="25" t="str">
        <f>B31</f>
        <v>о</v>
      </c>
      <c r="D35" s="14" t="s">
        <v>105</v>
      </c>
      <c r="L35" s="621" t="s">
        <v>153</v>
      </c>
      <c r="M35" s="621"/>
      <c r="N35" s="621"/>
      <c r="O35" s="621"/>
      <c r="P35" s="621"/>
      <c r="Q35" s="621"/>
      <c r="R35" s="621"/>
      <c r="S35" s="621"/>
      <c r="T35" s="621"/>
      <c r="U35" s="621"/>
    </row>
    <row r="36" spans="1:66" ht="21" hidden="1" x14ac:dyDescent="0.2">
      <c r="A36" s="23"/>
      <c r="B36" s="25" t="str">
        <f>R31</f>
        <v>оа</v>
      </c>
      <c r="D36" s="14" t="s">
        <v>106</v>
      </c>
      <c r="L36" s="621" t="s">
        <v>154</v>
      </c>
      <c r="M36" s="621"/>
      <c r="N36" s="621"/>
      <c r="O36" s="621"/>
      <c r="P36" s="621"/>
      <c r="Q36" s="621"/>
      <c r="R36" s="621"/>
      <c r="S36" s="621"/>
      <c r="T36" s="621"/>
      <c r="U36" s="621"/>
      <c r="BA36" s="5"/>
      <c r="BK36" s="1"/>
      <c r="BL36" s="1"/>
    </row>
    <row r="37" spans="1:66" hidden="1" x14ac:dyDescent="0.2">
      <c r="A37" s="23"/>
      <c r="B37" s="24" t="str">
        <f>B33</f>
        <v>в</v>
      </c>
      <c r="D37" s="14" t="s">
        <v>107</v>
      </c>
      <c r="L37" s="621" t="s">
        <v>157</v>
      </c>
      <c r="M37" s="621"/>
      <c r="N37" s="621"/>
      <c r="O37" s="621"/>
      <c r="P37" s="621"/>
      <c r="Q37" s="621"/>
      <c r="R37" s="621"/>
      <c r="S37" s="621"/>
      <c r="T37" s="621"/>
      <c r="U37" s="621"/>
      <c r="V37" s="621"/>
      <c r="W37" s="621"/>
      <c r="X37" s="621"/>
      <c r="Y37" s="621"/>
      <c r="Z37" s="621"/>
      <c r="AA37" s="621"/>
      <c r="AB37" s="621"/>
      <c r="AC37" s="621"/>
      <c r="AD37" s="621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idden="1" x14ac:dyDescent="0.2">
      <c r="A38" s="23"/>
      <c r="B38" s="24" t="str">
        <f>R33</f>
        <v>ва</v>
      </c>
      <c r="D38" s="14"/>
      <c r="L38" s="621" t="s">
        <v>158</v>
      </c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23"/>
      <c r="B39" s="26" t="str">
        <f>AF31</f>
        <v>у</v>
      </c>
      <c r="D39" s="14" t="s">
        <v>108</v>
      </c>
      <c r="AQ39" s="5"/>
      <c r="BA39" s="5"/>
    </row>
    <row r="40" spans="1:66" hidden="1" x14ac:dyDescent="0.2">
      <c r="A40" s="23"/>
      <c r="B40" s="26" t="str">
        <f>AF33</f>
        <v>п</v>
      </c>
    </row>
    <row r="41" spans="1:66" hidden="1" x14ac:dyDescent="0.2">
      <c r="A41" s="23"/>
      <c r="B41" s="27" t="str">
        <f>AZ33</f>
        <v>к</v>
      </c>
    </row>
    <row r="42" spans="1:66" hidden="1" x14ac:dyDescent="0.2">
      <c r="A42" s="23"/>
      <c r="B42" s="28" t="str">
        <f>AQ31</f>
        <v>А</v>
      </c>
    </row>
    <row r="43" spans="1:66" hidden="1" x14ac:dyDescent="0.2">
      <c r="A43" s="23"/>
      <c r="B43" s="394">
        <f>AZ31</f>
        <v>0</v>
      </c>
    </row>
    <row r="44" spans="1:66" hidden="1" x14ac:dyDescent="0.2">
      <c r="A44" s="23"/>
      <c r="B44" s="28" t="str">
        <f>AQ33</f>
        <v>д</v>
      </c>
    </row>
    <row r="45" spans="1:66" hidden="1" x14ac:dyDescent="0.2">
      <c r="A45" s="23"/>
      <c r="B45" s="29" t="str">
        <f>BH33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91">
    <mergeCell ref="AY29:BA29"/>
    <mergeCell ref="B19:E20"/>
    <mergeCell ref="F21:F22"/>
    <mergeCell ref="J21:J22"/>
    <mergeCell ref="W19:W20"/>
    <mergeCell ref="K19:N20"/>
    <mergeCell ref="S21:S22"/>
    <mergeCell ref="X19:Z20"/>
    <mergeCell ref="W21:W22"/>
    <mergeCell ref="AA19:AA20"/>
    <mergeCell ref="AF21:AF22"/>
    <mergeCell ref="J19:J20"/>
    <mergeCell ref="G19:I20"/>
    <mergeCell ref="AJ19:AJ20"/>
    <mergeCell ref="AF19:AF20"/>
    <mergeCell ref="T19:V20"/>
    <mergeCell ref="BM20:BM23"/>
    <mergeCell ref="BN20:BN23"/>
    <mergeCell ref="BB33:BG33"/>
    <mergeCell ref="BB31:BH31"/>
    <mergeCell ref="AO19:AR20"/>
    <mergeCell ref="AS31:AY31"/>
    <mergeCell ref="AS33:AY33"/>
    <mergeCell ref="AH33:AP33"/>
    <mergeCell ref="AH31:AP31"/>
    <mergeCell ref="AX19:BA20"/>
    <mergeCell ref="BJ33:BN33"/>
    <mergeCell ref="AW21:AW22"/>
    <mergeCell ref="BE20:BG22"/>
    <mergeCell ref="BK20:BK23"/>
    <mergeCell ref="BL20:BL23"/>
    <mergeCell ref="AJ21:AJ22"/>
    <mergeCell ref="S19:S20"/>
    <mergeCell ref="O1:BB1"/>
    <mergeCell ref="O2:BB2"/>
    <mergeCell ref="O3:BB3"/>
    <mergeCell ref="O19:R20"/>
    <mergeCell ref="O16:P16"/>
    <mergeCell ref="V16:Z16"/>
    <mergeCell ref="AT19:AV20"/>
    <mergeCell ref="AK19:AN20"/>
    <mergeCell ref="BB20:BD22"/>
    <mergeCell ref="AS19:AS20"/>
    <mergeCell ref="AS21:AS22"/>
    <mergeCell ref="AW19:AW20"/>
    <mergeCell ref="AA21:AA22"/>
    <mergeCell ref="O8:BB8"/>
    <mergeCell ref="A2:N2"/>
    <mergeCell ref="A4:N4"/>
    <mergeCell ref="A7:BN7"/>
    <mergeCell ref="BC2:BN2"/>
    <mergeCell ref="BC6:BN6"/>
    <mergeCell ref="BC3:BN3"/>
    <mergeCell ref="H3:N3"/>
    <mergeCell ref="A3:G3"/>
    <mergeCell ref="BC4:BN4"/>
    <mergeCell ref="A9:N9"/>
    <mergeCell ref="O9:BB9"/>
    <mergeCell ref="BC9:BN12"/>
    <mergeCell ref="A13:N13"/>
    <mergeCell ref="O13:BB13"/>
    <mergeCell ref="A10:N10"/>
    <mergeCell ref="A11:N11"/>
    <mergeCell ref="BC13:BN13"/>
    <mergeCell ref="O10:BB10"/>
    <mergeCell ref="O11:BB11"/>
    <mergeCell ref="O12:BB12"/>
    <mergeCell ref="A19:A23"/>
    <mergeCell ref="F19:F20"/>
    <mergeCell ref="O15:BB15"/>
    <mergeCell ref="Q16:S16"/>
    <mergeCell ref="A14:N14"/>
    <mergeCell ref="O14:BB14"/>
    <mergeCell ref="A16:N16"/>
    <mergeCell ref="A15:N15"/>
    <mergeCell ref="T16:U16"/>
    <mergeCell ref="BB19:BN19"/>
    <mergeCell ref="BH20:BH23"/>
    <mergeCell ref="BI20:BI23"/>
    <mergeCell ref="O17:BB17"/>
    <mergeCell ref="AB19:AE20"/>
    <mergeCell ref="AG19:AI20"/>
    <mergeCell ref="BJ20:BJ23"/>
    <mergeCell ref="L37:AD37"/>
    <mergeCell ref="L38:AD38"/>
    <mergeCell ref="T31:AE31"/>
    <mergeCell ref="T33:AE33"/>
    <mergeCell ref="D33:Q33"/>
    <mergeCell ref="L35:U35"/>
    <mergeCell ref="L36:U36"/>
    <mergeCell ref="D31:Q31"/>
  </mergeCells>
  <phoneticPr fontId="9" type="noConversion"/>
  <conditionalFormatting sqref="A35:A36">
    <cfRule type="cellIs" priority="34" stopIfTrue="1" operator="equal">
      <formula>#REF!</formula>
    </cfRule>
  </conditionalFormatting>
  <conditionalFormatting sqref="A37:A38">
    <cfRule type="expression" dxfId="170" priority="33" stopIfTrue="1">
      <formula>$R$31</formula>
    </cfRule>
  </conditionalFormatting>
  <conditionalFormatting sqref="B35">
    <cfRule type="cellIs" priority="32" stopIfTrue="1" operator="equal">
      <formula>$B$31</formula>
    </cfRule>
  </conditionalFormatting>
  <conditionalFormatting sqref="B36">
    <cfRule type="cellIs" dxfId="169" priority="31" stopIfTrue="1" operator="equal">
      <formula>$R$31</formula>
    </cfRule>
  </conditionalFormatting>
  <conditionalFormatting sqref="B37">
    <cfRule type="cellIs" dxfId="168" priority="30" stopIfTrue="1" operator="equal">
      <formula>$B$33</formula>
    </cfRule>
  </conditionalFormatting>
  <conditionalFormatting sqref="B38">
    <cfRule type="cellIs" dxfId="167" priority="29" stopIfTrue="1" operator="equal">
      <formula>$R$33</formula>
    </cfRule>
  </conditionalFormatting>
  <conditionalFormatting sqref="B39">
    <cfRule type="cellIs" priority="28" stopIfTrue="1" operator="equal">
      <formula>$AF$31</formula>
    </cfRule>
  </conditionalFormatting>
  <conditionalFormatting sqref="B40">
    <cfRule type="cellIs" dxfId="166" priority="27" stopIfTrue="1" operator="equal">
      <formula>$AF$33</formula>
    </cfRule>
  </conditionalFormatting>
  <conditionalFormatting sqref="B41">
    <cfRule type="cellIs" dxfId="165" priority="26" stopIfTrue="1" operator="equal">
      <formula>$AZ$33</formula>
    </cfRule>
  </conditionalFormatting>
  <conditionalFormatting sqref="B42">
    <cfRule type="cellIs" dxfId="164" priority="25" stopIfTrue="1" operator="equal">
      <formula>$AQ$31</formula>
    </cfRule>
  </conditionalFormatting>
  <conditionalFormatting sqref="B43">
    <cfRule type="cellIs" dxfId="163" priority="24" stopIfTrue="1" operator="equal">
      <formula>$AZ$31</formula>
    </cfRule>
  </conditionalFormatting>
  <conditionalFormatting sqref="B44">
    <cfRule type="cellIs" dxfId="162" priority="23" stopIfTrue="1" operator="equal">
      <formula>$AQ$33</formula>
    </cfRule>
  </conditionalFormatting>
  <conditionalFormatting sqref="B45">
    <cfRule type="cellIs" priority="22" stopIfTrue="1" operator="equal">
      <formula>$BH$33</formula>
    </cfRule>
  </conditionalFormatting>
  <conditionalFormatting sqref="AQ24:AQ28 AP28 AS24:BA28 AR28 B24:AO28 B24:BA27">
    <cfRule type="expression" dxfId="161" priority="19" stopIfTrue="1">
      <formula>OR(B24=$R$31,B24=$R$33,B24=$AQ$31,B24=$AZ$31,B24=$AQ$33)</formula>
    </cfRule>
    <cfRule type="expression" dxfId="160" priority="20" stopIfTrue="1">
      <formula>OR(B24=$AF$31,B24=$AF$33)</formula>
    </cfRule>
    <cfRule type="cellIs" dxfId="159" priority="21" stopIfTrue="1" operator="equal">
      <formula>$AZ$33</formula>
    </cfRule>
  </conditionalFormatting>
  <conditionalFormatting sqref="B27:AR27">
    <cfRule type="expression" dxfId="158" priority="4" stopIfTrue="1">
      <formula>OR(B27=$R$31,B27=$R$33,B27=$AQ$31,B27=$AZ$31,B27=$AQ$33)</formula>
    </cfRule>
    <cfRule type="expression" dxfId="157" priority="5" stopIfTrue="1">
      <formula>OR(B27=$AF$31,B27=$AF$33)</formula>
    </cfRule>
    <cfRule type="cellIs" dxfId="156" priority="6" stopIfTrue="1" operator="equal">
      <formula>$AZ$33</formula>
    </cfRule>
  </conditionalFormatting>
  <conditionalFormatting sqref="B27:AR27">
    <cfRule type="expression" dxfId="155" priority="1" stopIfTrue="1">
      <formula>OR(B27=$R$31,B27=$R$33,B27=$AQ$31,B27=$AZ$31,B27=$AQ$33)</formula>
    </cfRule>
    <cfRule type="expression" dxfId="154" priority="2" stopIfTrue="1">
      <formula>OR(B27=$AF$31,B27=$AF$33)</formula>
    </cfRule>
    <cfRule type="cellIs" dxfId="153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4:BB14">
      <formula1>$L$37:$L$38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3:BB13">
      <formula1>$L$35:$L$36</formula1>
    </dataValidation>
  </dataValidations>
  <printOptions horizontalCentered="1" verticalCentered="1"/>
  <pageMargins left="0" right="0" top="0.59055118110236227" bottom="0.39370078740157483" header="0.11811023622047245" footer="0.11811023622047245"/>
  <pageSetup paperSize="8" scale="89" orientation="landscape" horizontalDpi="300" verticalDpi="300" r:id="rId1"/>
  <headerFooter alignWithMargins="0">
    <oddFooter>&amp;L&amp;F&amp;C&amp;A</oddFooter>
  </headerFooter>
  <cellWatches>
    <cellWatch r="B24"/>
    <cellWatch r="O1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E151"/>
  <sheetViews>
    <sheetView showZeros="0" zoomScale="80" zoomScaleNormal="80" workbookViewId="0">
      <pane xSplit="17" ySplit="9" topLeftCell="BF10" activePane="bottomRight" state="frozen"/>
      <selection pane="topRight" activeCell="I1" sqref="I1"/>
      <selection pane="bottomLeft" activeCell="A16" sqref="A16"/>
      <selection pane="bottomRight" activeCell="B14" sqref="B14"/>
    </sheetView>
  </sheetViews>
  <sheetFormatPr defaultRowHeight="12.75" x14ac:dyDescent="0.2"/>
  <cols>
    <col min="1" max="1" width="17.6640625" style="407" customWidth="1"/>
    <col min="2" max="2" width="38.83203125" style="407" customWidth="1"/>
    <col min="3" max="3" width="16.83203125" style="407" customWidth="1"/>
    <col min="4" max="4" width="8" style="474" customWidth="1"/>
    <col min="5" max="7" width="7.6640625" style="474" customWidth="1"/>
    <col min="8" max="8" width="8.33203125" style="474" customWidth="1"/>
    <col min="9" max="9" width="6.6640625" style="475" customWidth="1"/>
    <col min="10" max="10" width="7.5" style="475" customWidth="1"/>
    <col min="11" max="12" width="8.33203125" style="407" customWidth="1"/>
    <col min="13" max="13" width="7.83203125" style="407" customWidth="1"/>
    <col min="14" max="14" width="7.1640625" style="407" customWidth="1"/>
    <col min="15" max="16" width="7.6640625" style="407" customWidth="1"/>
    <col min="17" max="17" width="7.1640625" style="407" customWidth="1"/>
    <col min="18" max="19" width="6.83203125" style="407" customWidth="1"/>
    <col min="20" max="20" width="7.6640625" style="407" customWidth="1"/>
    <col min="21" max="22" width="6.83203125" style="407" customWidth="1"/>
    <col min="23" max="23" width="7.83203125" style="407" customWidth="1"/>
    <col min="24" max="30" width="6.83203125" style="407" customWidth="1"/>
    <col min="31" max="31" width="7.33203125" style="407" customWidth="1"/>
    <col min="32" max="34" width="6.83203125" style="407" customWidth="1"/>
    <col min="35" max="35" width="7.1640625" style="407" customWidth="1"/>
    <col min="36" max="65" width="6.83203125" style="407" customWidth="1"/>
    <col min="66" max="81" width="6.83203125" style="407" hidden="1" customWidth="1"/>
    <col min="82" max="82" width="13" style="410" customWidth="1"/>
    <col min="83" max="83" width="26.1640625" style="410" customWidth="1"/>
    <col min="84" max="16384" width="9.33203125" style="406"/>
  </cols>
  <sheetData>
    <row r="1" spans="1:83" x14ac:dyDescent="0.2">
      <c r="B1" s="408"/>
      <c r="C1" s="408"/>
      <c r="D1" s="408"/>
      <c r="E1" s="408"/>
      <c r="F1" s="408"/>
      <c r="G1" s="408"/>
      <c r="H1" s="408"/>
      <c r="I1" s="409"/>
      <c r="J1" s="409"/>
      <c r="K1" s="408"/>
      <c r="L1" s="408"/>
      <c r="M1" s="408"/>
      <c r="N1" s="408"/>
      <c r="O1" s="408"/>
      <c r="P1" s="408"/>
    </row>
    <row r="2" spans="1:83" s="412" customFormat="1" ht="12.75" customHeight="1" x14ac:dyDescent="0.2">
      <c r="A2" s="714" t="s">
        <v>159</v>
      </c>
      <c r="B2" s="714" t="s">
        <v>563</v>
      </c>
      <c r="C2" s="714" t="s">
        <v>74</v>
      </c>
      <c r="D2" s="681" t="s">
        <v>564</v>
      </c>
      <c r="E2" s="682"/>
      <c r="F2" s="682"/>
      <c r="G2" s="682"/>
      <c r="H2" s="682"/>
      <c r="I2" s="726" t="s">
        <v>212</v>
      </c>
      <c r="J2" s="727"/>
      <c r="K2" s="686" t="s">
        <v>2</v>
      </c>
      <c r="L2" s="686"/>
      <c r="M2" s="686"/>
      <c r="N2" s="686"/>
      <c r="O2" s="686"/>
      <c r="P2" s="686"/>
      <c r="Q2" s="686"/>
      <c r="R2" s="411"/>
      <c r="S2" s="697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6"/>
      <c r="AL2" s="686"/>
      <c r="AM2" s="686"/>
      <c r="AN2" s="686"/>
      <c r="AO2" s="686"/>
      <c r="AP2" s="686"/>
      <c r="AQ2" s="686"/>
      <c r="AR2" s="686"/>
      <c r="AS2" s="686"/>
      <c r="AT2" s="686"/>
      <c r="AU2" s="686"/>
      <c r="AV2" s="686"/>
      <c r="AW2" s="686"/>
      <c r="AX2" s="686"/>
      <c r="AY2" s="686"/>
      <c r="AZ2" s="686"/>
      <c r="BA2" s="686"/>
      <c r="BB2" s="686"/>
      <c r="BC2" s="686"/>
      <c r="BD2" s="686"/>
      <c r="BE2" s="686"/>
      <c r="BF2" s="686"/>
      <c r="BG2" s="686"/>
      <c r="BH2" s="686"/>
      <c r="BI2" s="686"/>
      <c r="BJ2" s="686"/>
      <c r="BK2" s="686"/>
      <c r="BL2" s="686"/>
      <c r="BM2" s="686"/>
      <c r="BN2" s="686"/>
      <c r="BO2" s="686"/>
      <c r="BP2" s="686"/>
      <c r="BQ2" s="686"/>
      <c r="BR2" s="686"/>
      <c r="BS2" s="686"/>
      <c r="BT2" s="686"/>
      <c r="BU2" s="686"/>
      <c r="BV2" s="686"/>
      <c r="BW2" s="686"/>
      <c r="BX2" s="686"/>
      <c r="BY2" s="686"/>
      <c r="BZ2" s="686"/>
      <c r="CA2" s="686"/>
      <c r="CB2" s="686"/>
      <c r="CC2" s="686"/>
      <c r="CD2" s="683" t="s">
        <v>160</v>
      </c>
      <c r="CE2" s="683" t="s">
        <v>72</v>
      </c>
    </row>
    <row r="3" spans="1:83" s="412" customFormat="1" ht="12.75" customHeight="1" x14ac:dyDescent="0.2">
      <c r="A3" s="715"/>
      <c r="B3" s="715"/>
      <c r="C3" s="715"/>
      <c r="D3" s="716"/>
      <c r="E3" s="702"/>
      <c r="F3" s="702"/>
      <c r="G3" s="702"/>
      <c r="H3" s="702"/>
      <c r="I3" s="728"/>
      <c r="J3" s="729"/>
      <c r="K3" s="717" t="s">
        <v>1</v>
      </c>
      <c r="L3" s="696" t="s">
        <v>3</v>
      </c>
      <c r="M3" s="696"/>
      <c r="N3" s="696"/>
      <c r="O3" s="696"/>
      <c r="P3" s="696"/>
      <c r="Q3" s="697"/>
      <c r="R3" s="686"/>
      <c r="S3" s="686"/>
      <c r="T3" s="686"/>
      <c r="U3" s="686"/>
      <c r="V3" s="686"/>
      <c r="W3" s="686"/>
      <c r="X3" s="686"/>
      <c r="Y3" s="686"/>
      <c r="Z3" s="686"/>
      <c r="AA3" s="686"/>
      <c r="AB3" s="686"/>
      <c r="AC3" s="686"/>
      <c r="AD3" s="697"/>
      <c r="AE3" s="686"/>
      <c r="AF3" s="686"/>
      <c r="AG3" s="686"/>
      <c r="AH3" s="686"/>
      <c r="AI3" s="686"/>
      <c r="AJ3" s="686"/>
      <c r="AK3" s="686"/>
      <c r="AL3" s="686"/>
      <c r="AM3" s="686"/>
      <c r="AN3" s="686"/>
      <c r="AO3" s="703"/>
      <c r="AP3" s="697"/>
      <c r="AQ3" s="686"/>
      <c r="AR3" s="686"/>
      <c r="AS3" s="686"/>
      <c r="AT3" s="686"/>
      <c r="AU3" s="686"/>
      <c r="AV3" s="686"/>
      <c r="AW3" s="686"/>
      <c r="AX3" s="686"/>
      <c r="AY3" s="686"/>
      <c r="AZ3" s="686"/>
      <c r="BA3" s="703"/>
      <c r="BB3" s="697"/>
      <c r="BC3" s="686"/>
      <c r="BD3" s="686"/>
      <c r="BE3" s="686"/>
      <c r="BF3" s="686"/>
      <c r="BG3" s="686"/>
      <c r="BH3" s="686"/>
      <c r="BI3" s="686"/>
      <c r="BJ3" s="686"/>
      <c r="BK3" s="686"/>
      <c r="BL3" s="686"/>
      <c r="BM3" s="703"/>
      <c r="BN3" s="686"/>
      <c r="BO3" s="686"/>
      <c r="BP3" s="686"/>
      <c r="BQ3" s="686"/>
      <c r="BR3" s="686"/>
      <c r="BS3" s="686"/>
      <c r="BT3" s="686"/>
      <c r="BU3" s="686"/>
      <c r="BV3" s="686"/>
      <c r="BW3" s="686"/>
      <c r="BX3" s="686"/>
      <c r="BY3" s="686"/>
      <c r="BZ3" s="686"/>
      <c r="CA3" s="686"/>
      <c r="CB3" s="686"/>
      <c r="CC3" s="686"/>
      <c r="CD3" s="684"/>
      <c r="CE3" s="684"/>
    </row>
    <row r="4" spans="1:83" s="412" customFormat="1" ht="12.75" customHeight="1" x14ac:dyDescent="0.2">
      <c r="A4" s="715"/>
      <c r="B4" s="715"/>
      <c r="C4" s="715"/>
      <c r="D4" s="687" t="s">
        <v>63</v>
      </c>
      <c r="E4" s="687" t="s">
        <v>565</v>
      </c>
      <c r="F4" s="494"/>
      <c r="G4" s="687" t="s">
        <v>566</v>
      </c>
      <c r="H4" s="689" t="s">
        <v>567</v>
      </c>
      <c r="I4" s="728"/>
      <c r="J4" s="729"/>
      <c r="K4" s="718"/>
      <c r="L4" s="698" t="s">
        <v>80</v>
      </c>
      <c r="M4" s="686"/>
      <c r="N4" s="686"/>
      <c r="O4" s="686"/>
      <c r="P4" s="703"/>
      <c r="Q4" s="755" t="s">
        <v>82</v>
      </c>
      <c r="R4" s="681" t="s">
        <v>27</v>
      </c>
      <c r="S4" s="682"/>
      <c r="T4" s="505"/>
      <c r="U4" s="505"/>
      <c r="V4" s="505">
        <f>'Титульный лист'!BB24</f>
        <v>17</v>
      </c>
      <c r="W4" s="589">
        <f>'Титульный лист'!BE24</f>
        <v>0</v>
      </c>
      <c r="X4" s="682" t="s">
        <v>31</v>
      </c>
      <c r="Y4" s="682"/>
      <c r="Z4" s="415"/>
      <c r="AA4" s="415"/>
      <c r="AB4" s="498">
        <f>'Титульный лист'!BC24</f>
        <v>22</v>
      </c>
      <c r="AC4" s="505">
        <f>'Титульный лист'!BF24</f>
        <v>2</v>
      </c>
      <c r="AD4" s="681" t="s">
        <v>30</v>
      </c>
      <c r="AE4" s="682"/>
      <c r="AF4" s="504"/>
      <c r="AG4" s="504"/>
      <c r="AH4" s="505">
        <f>'Титульный лист'!BB25</f>
        <v>16</v>
      </c>
      <c r="AI4" s="589">
        <f>'Титульный лист'!BE25</f>
        <v>1</v>
      </c>
      <c r="AJ4" s="682" t="s">
        <v>39</v>
      </c>
      <c r="AK4" s="682"/>
      <c r="AL4" s="415"/>
      <c r="AM4" s="415"/>
      <c r="AN4" s="498">
        <f>'Титульный лист'!BC25</f>
        <v>19</v>
      </c>
      <c r="AO4" s="505">
        <f>'Титульный лист'!BF25</f>
        <v>1</v>
      </c>
      <c r="AP4" s="704" t="s">
        <v>40</v>
      </c>
      <c r="AQ4" s="695"/>
      <c r="AR4" s="504"/>
      <c r="AS4" s="504"/>
      <c r="AT4" s="505">
        <f>'Титульный лист'!BB26</f>
        <v>12</v>
      </c>
      <c r="AU4" s="589">
        <f>'Титульный лист'!BE26</f>
        <v>1</v>
      </c>
      <c r="AV4" s="724" t="s">
        <v>41</v>
      </c>
      <c r="AW4" s="723"/>
      <c r="AX4" s="415"/>
      <c r="AY4" s="415"/>
      <c r="AZ4" s="498">
        <f>'Титульный лист'!BC26</f>
        <v>8</v>
      </c>
      <c r="BA4" s="505">
        <f>'Титульный лист'!BF26</f>
        <v>1</v>
      </c>
      <c r="BB4" s="704" t="s">
        <v>42</v>
      </c>
      <c r="BC4" s="695"/>
      <c r="BD4" s="504"/>
      <c r="BE4" s="504"/>
      <c r="BF4" s="505">
        <f>'Титульный лист'!BB27</f>
        <v>4</v>
      </c>
      <c r="BG4" s="589">
        <f>'Титульный лист'!BE27</f>
        <v>0</v>
      </c>
      <c r="BH4" s="722" t="s">
        <v>37</v>
      </c>
      <c r="BI4" s="723"/>
      <c r="BJ4" s="504"/>
      <c r="BK4" s="504"/>
      <c r="BL4" s="505">
        <f>'Титульный лист'!BC27</f>
        <v>19</v>
      </c>
      <c r="BM4" s="589">
        <f>'Титульный лист'!BF27</f>
        <v>1</v>
      </c>
      <c r="BN4" s="693" t="s">
        <v>38</v>
      </c>
      <c r="BO4" s="694"/>
      <c r="BP4" s="695"/>
      <c r="BQ4" s="415"/>
      <c r="BR4" s="415"/>
      <c r="BS4" s="721">
        <f>'Титульный лист'!BB28</f>
        <v>0</v>
      </c>
      <c r="BT4" s="721"/>
      <c r="BU4" s="414">
        <f>'Титульный лист'!BE28</f>
        <v>0</v>
      </c>
      <c r="BV4" s="725" t="s">
        <v>79</v>
      </c>
      <c r="BW4" s="725"/>
      <c r="BX4" s="723"/>
      <c r="BY4" s="415"/>
      <c r="BZ4" s="415"/>
      <c r="CA4" s="721">
        <f>'Титульный лист'!BC28</f>
        <v>0</v>
      </c>
      <c r="CB4" s="721"/>
      <c r="CC4" s="413">
        <f>'Титульный лист'!BF28</f>
        <v>0</v>
      </c>
      <c r="CD4" s="684"/>
      <c r="CE4" s="684"/>
    </row>
    <row r="5" spans="1:83" s="412" customFormat="1" ht="12.75" customHeight="1" x14ac:dyDescent="0.2">
      <c r="A5" s="715"/>
      <c r="B5" s="715"/>
      <c r="C5" s="715"/>
      <c r="D5" s="688"/>
      <c r="E5" s="688"/>
      <c r="F5" s="495"/>
      <c r="G5" s="688"/>
      <c r="H5" s="690"/>
      <c r="I5" s="728"/>
      <c r="J5" s="729"/>
      <c r="K5" s="718"/>
      <c r="L5" s="719"/>
      <c r="M5" s="698" t="s">
        <v>568</v>
      </c>
      <c r="N5" s="698" t="s">
        <v>569</v>
      </c>
      <c r="O5" s="698" t="s">
        <v>215</v>
      </c>
      <c r="P5" s="698" t="s">
        <v>278</v>
      </c>
      <c r="Q5" s="755"/>
      <c r="R5" s="716" t="s">
        <v>71</v>
      </c>
      <c r="S5" s="702"/>
      <c r="T5" s="702" t="s">
        <v>55</v>
      </c>
      <c r="U5" s="702"/>
      <c r="V5" s="702"/>
      <c r="W5" s="590" t="s">
        <v>213</v>
      </c>
      <c r="X5" s="702" t="s">
        <v>71</v>
      </c>
      <c r="Y5" s="702"/>
      <c r="Z5" s="417"/>
      <c r="AA5" s="417"/>
      <c r="AB5" s="497" t="s">
        <v>55</v>
      </c>
      <c r="AC5" s="503" t="s">
        <v>213</v>
      </c>
      <c r="AD5" s="716" t="s">
        <v>71</v>
      </c>
      <c r="AE5" s="702"/>
      <c r="AF5" s="503"/>
      <c r="AG5" s="503"/>
      <c r="AH5" s="503" t="s">
        <v>55</v>
      </c>
      <c r="AI5" s="590" t="s">
        <v>213</v>
      </c>
      <c r="AJ5" s="702" t="s">
        <v>71</v>
      </c>
      <c r="AK5" s="702"/>
      <c r="AL5" s="417"/>
      <c r="AM5" s="417"/>
      <c r="AN5" s="497" t="s">
        <v>55</v>
      </c>
      <c r="AO5" s="503" t="s">
        <v>213</v>
      </c>
      <c r="AP5" s="675" t="s">
        <v>71</v>
      </c>
      <c r="AQ5" s="676"/>
      <c r="AR5" s="503"/>
      <c r="AS5" s="503"/>
      <c r="AT5" s="503" t="s">
        <v>55</v>
      </c>
      <c r="AU5" s="590" t="s">
        <v>213</v>
      </c>
      <c r="AV5" s="754" t="s">
        <v>71</v>
      </c>
      <c r="AW5" s="692"/>
      <c r="AX5" s="417"/>
      <c r="AY5" s="417"/>
      <c r="AZ5" s="497" t="s">
        <v>55</v>
      </c>
      <c r="BA5" s="503" t="s">
        <v>213</v>
      </c>
      <c r="BB5" s="675" t="s">
        <v>71</v>
      </c>
      <c r="BC5" s="676"/>
      <c r="BD5" s="503"/>
      <c r="BE5" s="503"/>
      <c r="BF5" s="503" t="s">
        <v>55</v>
      </c>
      <c r="BG5" s="590" t="s">
        <v>213</v>
      </c>
      <c r="BH5" s="691" t="s">
        <v>71</v>
      </c>
      <c r="BI5" s="692"/>
      <c r="BJ5" s="503"/>
      <c r="BK5" s="503"/>
      <c r="BL5" s="503" t="s">
        <v>55</v>
      </c>
      <c r="BM5" s="590" t="s">
        <v>213</v>
      </c>
      <c r="BN5" s="700" t="s">
        <v>71</v>
      </c>
      <c r="BO5" s="701"/>
      <c r="BP5" s="676"/>
      <c r="BQ5" s="417"/>
      <c r="BR5" s="417"/>
      <c r="BS5" s="702" t="s">
        <v>55</v>
      </c>
      <c r="BT5" s="702"/>
      <c r="BU5" s="416" t="s">
        <v>213</v>
      </c>
      <c r="BV5" s="720" t="s">
        <v>71</v>
      </c>
      <c r="BW5" s="720"/>
      <c r="BX5" s="692"/>
      <c r="BY5" s="417"/>
      <c r="BZ5" s="417"/>
      <c r="CA5" s="702" t="s">
        <v>55</v>
      </c>
      <c r="CB5" s="702"/>
      <c r="CC5" s="417" t="s">
        <v>213</v>
      </c>
      <c r="CD5" s="684"/>
      <c r="CE5" s="684"/>
    </row>
    <row r="6" spans="1:83" s="412" customFormat="1" ht="12.75" customHeight="1" x14ac:dyDescent="0.2">
      <c r="A6" s="715"/>
      <c r="B6" s="715"/>
      <c r="C6" s="715"/>
      <c r="D6" s="688"/>
      <c r="E6" s="688"/>
      <c r="F6" s="495"/>
      <c r="G6" s="688"/>
      <c r="H6" s="690"/>
      <c r="I6" s="728"/>
      <c r="J6" s="729"/>
      <c r="K6" s="718"/>
      <c r="L6" s="719"/>
      <c r="M6" s="699"/>
      <c r="N6" s="699"/>
      <c r="O6" s="699"/>
      <c r="P6" s="699"/>
      <c r="Q6" s="755"/>
      <c r="R6" s="678" t="s">
        <v>136</v>
      </c>
      <c r="S6" s="679"/>
      <c r="T6" s="502"/>
      <c r="U6" s="502"/>
      <c r="V6" s="419">
        <f>IF((SUM(S87:W87)+SUM(S80:W80))=0,0,(SUM(S87:W87)+SUM(S80:W80))/Нормы!$G$39)</f>
        <v>0</v>
      </c>
      <c r="W6" s="591" t="s">
        <v>137</v>
      </c>
      <c r="X6" s="679" t="s">
        <v>136</v>
      </c>
      <c r="Y6" s="679"/>
      <c r="Z6" s="499"/>
      <c r="AA6" s="499"/>
      <c r="AB6" s="419">
        <f>IF((SUM(Y87:AC87)+SUM(Y80:AC80))=0,0,(SUM(Y87:AC87)+SUM(Y80:AC80))/Нормы!$G$39)</f>
        <v>0</v>
      </c>
      <c r="AC6" s="513" t="s">
        <v>137</v>
      </c>
      <c r="AD6" s="678" t="s">
        <v>136</v>
      </c>
      <c r="AE6" s="679"/>
      <c r="AF6" s="502"/>
      <c r="AG6" s="502"/>
      <c r="AH6" s="419">
        <f>IF((SUM(AE87:AI87)+SUM(AE80:AI80))=0,0,(SUM(AE87:AI87)+SUM(AE80:AI80))/Нормы!$G$39)</f>
        <v>0</v>
      </c>
      <c r="AI6" s="591" t="s">
        <v>137</v>
      </c>
      <c r="AJ6" s="679" t="s">
        <v>136</v>
      </c>
      <c r="AK6" s="679"/>
      <c r="AL6" s="499"/>
      <c r="AM6" s="499"/>
      <c r="AN6" s="419">
        <f>IF((SUM(AK87:AO87)+SUM(AK80:AO80))=0,0,(SUM(AK87:AO87)+SUM(AK80:AO80))/Нормы!$G$39)</f>
        <v>7</v>
      </c>
      <c r="AO6" s="513" t="s">
        <v>137</v>
      </c>
      <c r="AP6" s="678" t="s">
        <v>136</v>
      </c>
      <c r="AQ6" s="679"/>
      <c r="AR6" s="502"/>
      <c r="AS6" s="502"/>
      <c r="AT6" s="419">
        <f>IF((SUM(AQ87:AU87)+SUM(AQ80:AU80))=0,0,(SUM(AQ87:AU87)+SUM(AQ80:AU80))/Нормы!$G$39)</f>
        <v>4</v>
      </c>
      <c r="AU6" s="591" t="s">
        <v>137</v>
      </c>
      <c r="AV6" s="679" t="s">
        <v>136</v>
      </c>
      <c r="AW6" s="679"/>
      <c r="AX6" s="499"/>
      <c r="AY6" s="499"/>
      <c r="AZ6" s="419">
        <f>IF((SUM(AW87:BA87)+SUM(AW80:BA80))=0,0,(SUM(AW87:BA87)+SUM(AW80:BA80))/Нормы!$G$39)</f>
        <v>18</v>
      </c>
      <c r="BA6" s="513" t="s">
        <v>137</v>
      </c>
      <c r="BB6" s="678" t="s">
        <v>136</v>
      </c>
      <c r="BC6" s="679"/>
      <c r="BD6" s="502"/>
      <c r="BE6" s="502"/>
      <c r="BF6" s="419">
        <f>IF((SUM(BC87:BG87)+SUM(BC80:BG80))=0,0,(SUM(BC87:BG87)+SUM(BC80:BG80))/Нормы!$G$39)</f>
        <v>13</v>
      </c>
      <c r="BG6" s="591" t="s">
        <v>137</v>
      </c>
      <c r="BH6" s="678" t="s">
        <v>136</v>
      </c>
      <c r="BI6" s="679"/>
      <c r="BJ6" s="502"/>
      <c r="BK6" s="502"/>
      <c r="BL6" s="419">
        <f>IF((SUM(BI87:BM87)+SUM(BI80:BM80))=0,0,(SUM(BI87:BM87)+SUM(BI80:BM80))/Нормы!$G$39)</f>
        <v>0</v>
      </c>
      <c r="BM6" s="591" t="s">
        <v>137</v>
      </c>
      <c r="BN6" s="513"/>
      <c r="BO6" s="679" t="s">
        <v>136</v>
      </c>
      <c r="BP6" s="679"/>
      <c r="BQ6" s="422"/>
      <c r="BR6" s="422"/>
      <c r="BS6" s="418"/>
      <c r="BT6" s="419">
        <v>0</v>
      </c>
      <c r="BU6" s="420" t="s">
        <v>137</v>
      </c>
      <c r="BV6" s="421"/>
      <c r="BW6" s="679" t="s">
        <v>136</v>
      </c>
      <c r="BX6" s="679"/>
      <c r="BY6" s="422"/>
      <c r="BZ6" s="422"/>
      <c r="CA6" s="418"/>
      <c r="CB6" s="419">
        <v>0</v>
      </c>
      <c r="CC6" s="423" t="s">
        <v>137</v>
      </c>
      <c r="CD6" s="684"/>
      <c r="CE6" s="684"/>
    </row>
    <row r="7" spans="1:83" s="412" customFormat="1" ht="12.75" customHeight="1" x14ac:dyDescent="0.2">
      <c r="A7" s="715"/>
      <c r="B7" s="715"/>
      <c r="C7" s="715"/>
      <c r="D7" s="688"/>
      <c r="E7" s="688"/>
      <c r="F7" s="495"/>
      <c r="G7" s="688"/>
      <c r="H7" s="690"/>
      <c r="I7" s="730"/>
      <c r="J7" s="731"/>
      <c r="K7" s="718"/>
      <c r="L7" s="719"/>
      <c r="M7" s="699"/>
      <c r="N7" s="699"/>
      <c r="O7" s="699"/>
      <c r="P7" s="699"/>
      <c r="Q7" s="755"/>
      <c r="R7" s="680" t="s">
        <v>138</v>
      </c>
      <c r="S7" s="677"/>
      <c r="T7" s="677"/>
      <c r="U7" s="512"/>
      <c r="V7" s="424">
        <f>IF(SUM(S90:W90)=0,0,SUM(S90:W90)/Нормы!$G$38)</f>
        <v>0</v>
      </c>
      <c r="W7" s="592" t="s">
        <v>137</v>
      </c>
      <c r="X7" s="677" t="s">
        <v>138</v>
      </c>
      <c r="Y7" s="677"/>
      <c r="Z7" s="677"/>
      <c r="AA7" s="512"/>
      <c r="AB7" s="424">
        <f>IF(SUM(Y90:AC90)=0,0,SUM(Y90:AC90)/Нормы!$G$38)</f>
        <v>0</v>
      </c>
      <c r="AC7" s="427" t="s">
        <v>137</v>
      </c>
      <c r="AD7" s="680" t="s">
        <v>138</v>
      </c>
      <c r="AE7" s="677"/>
      <c r="AF7" s="677"/>
      <c r="AG7" s="512"/>
      <c r="AH7" s="424">
        <f>IF(SUM(AE90:AI90)=0,0,SUM(AE90:AI90)/Нормы!$G$38)</f>
        <v>0</v>
      </c>
      <c r="AI7" s="592" t="s">
        <v>137</v>
      </c>
      <c r="AJ7" s="677" t="s">
        <v>138</v>
      </c>
      <c r="AK7" s="677"/>
      <c r="AL7" s="677"/>
      <c r="AM7" s="512"/>
      <c r="AN7" s="424">
        <f>IF(SUM(AK90:AO90)=0,0,SUM(AK90:AO90)/Нормы!$G$38)</f>
        <v>0</v>
      </c>
      <c r="AO7" s="427" t="s">
        <v>137</v>
      </c>
      <c r="AP7" s="680" t="s">
        <v>138</v>
      </c>
      <c r="AQ7" s="677"/>
      <c r="AR7" s="677"/>
      <c r="AS7" s="512"/>
      <c r="AT7" s="424">
        <f>IF(SUM(AQ90:AU90)=0,0,SUM(AQ90:AU90)/Нормы!$G$38)</f>
        <v>0</v>
      </c>
      <c r="AU7" s="592" t="s">
        <v>137</v>
      </c>
      <c r="AV7" s="677" t="s">
        <v>138</v>
      </c>
      <c r="AW7" s="677"/>
      <c r="AX7" s="677"/>
      <c r="AY7" s="512"/>
      <c r="AZ7" s="424">
        <f>IF(SUM(AW90:BA90)=0,0,SUM(AW90:BA90)/Нормы!$G$38)</f>
        <v>0</v>
      </c>
      <c r="BA7" s="427" t="s">
        <v>137</v>
      </c>
      <c r="BB7" s="680" t="s">
        <v>138</v>
      </c>
      <c r="BC7" s="677"/>
      <c r="BD7" s="677"/>
      <c r="BE7" s="512"/>
      <c r="BF7" s="424">
        <f>IF(SUM(BC90:BG90)=0,0,SUM(BC90:BG90)/Нормы!$G$38)</f>
        <v>0</v>
      </c>
      <c r="BG7" s="592" t="s">
        <v>137</v>
      </c>
      <c r="BH7" s="680" t="s">
        <v>138</v>
      </c>
      <c r="BI7" s="677"/>
      <c r="BJ7" s="677"/>
      <c r="BK7" s="512"/>
      <c r="BL7" s="424">
        <f>IF(SUM(BI90:BM90)=0,0,SUM(BI90:BM90)/Нормы!$G$38)</f>
        <v>4</v>
      </c>
      <c r="BM7" s="592" t="s">
        <v>137</v>
      </c>
      <c r="BN7" s="593"/>
      <c r="BO7" s="677" t="s">
        <v>138</v>
      </c>
      <c r="BP7" s="677"/>
      <c r="BQ7" s="677"/>
      <c r="BR7" s="512"/>
      <c r="BS7" s="512"/>
      <c r="BT7" s="424">
        <v>0</v>
      </c>
      <c r="BU7" s="425" t="s">
        <v>137</v>
      </c>
      <c r="BV7" s="426"/>
      <c r="BW7" s="677" t="s">
        <v>138</v>
      </c>
      <c r="BX7" s="677"/>
      <c r="BY7" s="677"/>
      <c r="BZ7" s="677"/>
      <c r="CA7" s="677"/>
      <c r="CB7" s="424">
        <v>0</v>
      </c>
      <c r="CC7" s="427" t="s">
        <v>137</v>
      </c>
      <c r="CD7" s="684"/>
      <c r="CE7" s="684"/>
    </row>
    <row r="8" spans="1:83" s="412" customFormat="1" ht="126" customHeight="1" x14ac:dyDescent="0.2">
      <c r="A8" s="715"/>
      <c r="B8" s="715"/>
      <c r="C8" s="715"/>
      <c r="D8" s="688"/>
      <c r="E8" s="688"/>
      <c r="F8" s="495" t="s">
        <v>64</v>
      </c>
      <c r="G8" s="688"/>
      <c r="H8" s="690"/>
      <c r="I8" s="588" t="s">
        <v>168</v>
      </c>
      <c r="J8" s="588" t="s">
        <v>236</v>
      </c>
      <c r="K8" s="718"/>
      <c r="L8" s="719"/>
      <c r="M8" s="699"/>
      <c r="N8" s="699"/>
      <c r="O8" s="699"/>
      <c r="P8" s="699"/>
      <c r="Q8" s="756"/>
      <c r="R8" s="580" t="s">
        <v>128</v>
      </c>
      <c r="S8" s="581" t="s">
        <v>570</v>
      </c>
      <c r="T8" s="582" t="s">
        <v>571</v>
      </c>
      <c r="U8" s="582" t="s">
        <v>215</v>
      </c>
      <c r="V8" s="582" t="s">
        <v>278</v>
      </c>
      <c r="W8" s="582" t="s">
        <v>70</v>
      </c>
      <c r="X8" s="430" t="s">
        <v>128</v>
      </c>
      <c r="Y8" s="496" t="s">
        <v>570</v>
      </c>
      <c r="Z8" s="428" t="s">
        <v>571</v>
      </c>
      <c r="AA8" s="428" t="s">
        <v>215</v>
      </c>
      <c r="AB8" s="428" t="s">
        <v>278</v>
      </c>
      <c r="AC8" s="431" t="s">
        <v>70</v>
      </c>
      <c r="AD8" s="580" t="s">
        <v>128</v>
      </c>
      <c r="AE8" s="581" t="s">
        <v>570</v>
      </c>
      <c r="AF8" s="582" t="s">
        <v>571</v>
      </c>
      <c r="AG8" s="582" t="s">
        <v>215</v>
      </c>
      <c r="AH8" s="582" t="s">
        <v>278</v>
      </c>
      <c r="AI8" s="582" t="s">
        <v>70</v>
      </c>
      <c r="AJ8" s="430" t="s">
        <v>128</v>
      </c>
      <c r="AK8" s="496" t="s">
        <v>570</v>
      </c>
      <c r="AL8" s="428" t="s">
        <v>571</v>
      </c>
      <c r="AM8" s="428" t="s">
        <v>215</v>
      </c>
      <c r="AN8" s="428" t="s">
        <v>278</v>
      </c>
      <c r="AO8" s="431" t="s">
        <v>70</v>
      </c>
      <c r="AP8" s="580" t="s">
        <v>128</v>
      </c>
      <c r="AQ8" s="581" t="s">
        <v>570</v>
      </c>
      <c r="AR8" s="582" t="s">
        <v>571</v>
      </c>
      <c r="AS8" s="582" t="s">
        <v>215</v>
      </c>
      <c r="AT8" s="582" t="s">
        <v>278</v>
      </c>
      <c r="AU8" s="582" t="s">
        <v>70</v>
      </c>
      <c r="AV8" s="430" t="s">
        <v>128</v>
      </c>
      <c r="AW8" s="496" t="s">
        <v>570</v>
      </c>
      <c r="AX8" s="428" t="s">
        <v>571</v>
      </c>
      <c r="AY8" s="428" t="s">
        <v>215</v>
      </c>
      <c r="AZ8" s="428" t="s">
        <v>278</v>
      </c>
      <c r="BA8" s="431" t="s">
        <v>70</v>
      </c>
      <c r="BB8" s="580" t="s">
        <v>128</v>
      </c>
      <c r="BC8" s="581" t="s">
        <v>570</v>
      </c>
      <c r="BD8" s="582" t="s">
        <v>571</v>
      </c>
      <c r="BE8" s="582" t="s">
        <v>215</v>
      </c>
      <c r="BF8" s="582" t="s">
        <v>278</v>
      </c>
      <c r="BG8" s="582" t="s">
        <v>70</v>
      </c>
      <c r="BH8" s="580" t="s">
        <v>128</v>
      </c>
      <c r="BI8" s="581" t="s">
        <v>570</v>
      </c>
      <c r="BJ8" s="582" t="s">
        <v>571</v>
      </c>
      <c r="BK8" s="582" t="s">
        <v>215</v>
      </c>
      <c r="BL8" s="582" t="s">
        <v>278</v>
      </c>
      <c r="BM8" s="582" t="s">
        <v>70</v>
      </c>
      <c r="BN8" s="430" t="s">
        <v>128</v>
      </c>
      <c r="BO8" s="428" t="s">
        <v>276</v>
      </c>
      <c r="BP8" s="428" t="s">
        <v>277</v>
      </c>
      <c r="BQ8" s="428" t="s">
        <v>69</v>
      </c>
      <c r="BR8" s="428" t="s">
        <v>215</v>
      </c>
      <c r="BS8" s="428" t="s">
        <v>278</v>
      </c>
      <c r="BT8" s="428" t="s">
        <v>140</v>
      </c>
      <c r="BU8" s="429" t="s">
        <v>70</v>
      </c>
      <c r="BV8" s="430" t="s">
        <v>128</v>
      </c>
      <c r="BW8" s="428" t="s">
        <v>276</v>
      </c>
      <c r="BX8" s="428" t="s">
        <v>277</v>
      </c>
      <c r="BY8" s="428" t="s">
        <v>69</v>
      </c>
      <c r="BZ8" s="428" t="s">
        <v>215</v>
      </c>
      <c r="CA8" s="428" t="s">
        <v>278</v>
      </c>
      <c r="CB8" s="428" t="s">
        <v>140</v>
      </c>
      <c r="CC8" s="431" t="s">
        <v>70</v>
      </c>
      <c r="CD8" s="685"/>
      <c r="CE8" s="685"/>
    </row>
    <row r="9" spans="1:83" s="412" customFormat="1" x14ac:dyDescent="0.2">
      <c r="A9" s="506">
        <v>1</v>
      </c>
      <c r="B9" s="506">
        <v>2</v>
      </c>
      <c r="C9" s="506">
        <v>3</v>
      </c>
      <c r="D9" s="506">
        <v>4</v>
      </c>
      <c r="E9" s="506">
        <v>5</v>
      </c>
      <c r="F9" s="506">
        <v>6</v>
      </c>
      <c r="G9" s="506">
        <v>7</v>
      </c>
      <c r="H9" s="506">
        <v>8</v>
      </c>
      <c r="I9" s="506">
        <v>9</v>
      </c>
      <c r="J9" s="506">
        <v>10</v>
      </c>
      <c r="K9" s="506">
        <v>11</v>
      </c>
      <c r="L9" s="506">
        <v>12</v>
      </c>
      <c r="M9" s="506">
        <v>14</v>
      </c>
      <c r="N9" s="506">
        <v>15</v>
      </c>
      <c r="O9" s="506">
        <v>16</v>
      </c>
      <c r="P9" s="506">
        <v>17</v>
      </c>
      <c r="Q9" s="506">
        <v>19</v>
      </c>
      <c r="R9" s="506">
        <v>21</v>
      </c>
      <c r="S9" s="506">
        <v>23</v>
      </c>
      <c r="T9" s="506">
        <v>24</v>
      </c>
      <c r="U9" s="506">
        <v>25</v>
      </c>
      <c r="V9" s="506">
        <v>26</v>
      </c>
      <c r="W9" s="506">
        <v>28</v>
      </c>
      <c r="X9" s="506">
        <v>30</v>
      </c>
      <c r="Y9" s="506">
        <v>32</v>
      </c>
      <c r="Z9" s="506">
        <v>33</v>
      </c>
      <c r="AA9" s="506">
        <v>34</v>
      </c>
      <c r="AB9" s="506">
        <v>35</v>
      </c>
      <c r="AC9" s="506">
        <v>37</v>
      </c>
      <c r="AD9" s="506">
        <v>39</v>
      </c>
      <c r="AE9" s="506">
        <v>41</v>
      </c>
      <c r="AF9" s="506">
        <v>42</v>
      </c>
      <c r="AG9" s="506">
        <v>43</v>
      </c>
      <c r="AH9" s="506">
        <v>44</v>
      </c>
      <c r="AI9" s="506">
        <v>46</v>
      </c>
      <c r="AJ9" s="506">
        <v>48</v>
      </c>
      <c r="AK9" s="506">
        <v>50</v>
      </c>
      <c r="AL9" s="506">
        <v>51</v>
      </c>
      <c r="AM9" s="506">
        <v>52</v>
      </c>
      <c r="AN9" s="506">
        <v>53</v>
      </c>
      <c r="AO9" s="506">
        <v>55</v>
      </c>
      <c r="AP9" s="506">
        <v>57</v>
      </c>
      <c r="AQ9" s="506">
        <v>59</v>
      </c>
      <c r="AR9" s="506">
        <v>60</v>
      </c>
      <c r="AS9" s="506">
        <v>61</v>
      </c>
      <c r="AT9" s="506">
        <v>62</v>
      </c>
      <c r="AU9" s="506">
        <v>64</v>
      </c>
      <c r="AV9" s="506">
        <v>66</v>
      </c>
      <c r="AW9" s="506">
        <v>68</v>
      </c>
      <c r="AX9" s="506">
        <v>69</v>
      </c>
      <c r="AY9" s="506">
        <v>70</v>
      </c>
      <c r="AZ9" s="506">
        <v>71</v>
      </c>
      <c r="BA9" s="506">
        <v>73</v>
      </c>
      <c r="BB9" s="506">
        <v>75</v>
      </c>
      <c r="BC9" s="506">
        <v>77</v>
      </c>
      <c r="BD9" s="506">
        <v>78</v>
      </c>
      <c r="BE9" s="506">
        <v>79</v>
      </c>
      <c r="BF9" s="506">
        <v>80</v>
      </c>
      <c r="BG9" s="506">
        <v>82</v>
      </c>
      <c r="BH9" s="506">
        <v>84</v>
      </c>
      <c r="BI9" s="506">
        <v>86</v>
      </c>
      <c r="BJ9" s="506">
        <v>87</v>
      </c>
      <c r="BK9" s="506">
        <v>88</v>
      </c>
      <c r="BL9" s="506">
        <v>89</v>
      </c>
      <c r="BM9" s="506">
        <v>91</v>
      </c>
      <c r="BN9" s="506">
        <v>93</v>
      </c>
      <c r="BO9" s="506">
        <v>94</v>
      </c>
      <c r="BP9" s="506">
        <v>95</v>
      </c>
      <c r="BQ9" s="506">
        <v>96</v>
      </c>
      <c r="BR9" s="506">
        <v>97</v>
      </c>
      <c r="BS9" s="506">
        <v>98</v>
      </c>
      <c r="BT9" s="506">
        <v>99</v>
      </c>
      <c r="BU9" s="506">
        <v>100</v>
      </c>
      <c r="BV9" s="506">
        <v>102</v>
      </c>
      <c r="BW9" s="506">
        <v>103</v>
      </c>
      <c r="BX9" s="506">
        <v>104</v>
      </c>
      <c r="BY9" s="506">
        <v>105</v>
      </c>
      <c r="BZ9" s="506">
        <v>106</v>
      </c>
      <c r="CA9" s="506">
        <v>107</v>
      </c>
      <c r="CB9" s="506">
        <v>108</v>
      </c>
      <c r="CC9" s="506">
        <v>109</v>
      </c>
      <c r="CD9" s="506">
        <v>110</v>
      </c>
      <c r="CE9" s="506">
        <v>111</v>
      </c>
    </row>
    <row r="10" spans="1:83" s="121" customFormat="1" ht="25.5" customHeight="1" x14ac:dyDescent="0.2">
      <c r="A10" s="617" t="s">
        <v>603</v>
      </c>
      <c r="B10" s="713" t="s">
        <v>545</v>
      </c>
      <c r="C10" s="713"/>
      <c r="D10" s="713"/>
      <c r="E10" s="713"/>
      <c r="F10" s="713"/>
      <c r="G10" s="713"/>
      <c r="H10" s="713"/>
      <c r="I10" s="550">
        <v>2106</v>
      </c>
      <c r="J10" s="550">
        <v>1404</v>
      </c>
      <c r="K10" s="550">
        <f t="shared" ref="K10:AH10" si="0">K11+K19</f>
        <v>2106</v>
      </c>
      <c r="L10" s="550">
        <f t="shared" si="0"/>
        <v>1404</v>
      </c>
      <c r="M10" s="550">
        <f t="shared" si="0"/>
        <v>1189</v>
      </c>
      <c r="N10" s="550">
        <f t="shared" si="0"/>
        <v>215</v>
      </c>
      <c r="O10" s="550">
        <f t="shared" si="0"/>
        <v>0</v>
      </c>
      <c r="P10" s="550">
        <f t="shared" si="0"/>
        <v>0</v>
      </c>
      <c r="Q10" s="550">
        <f t="shared" si="0"/>
        <v>702</v>
      </c>
      <c r="R10" s="550">
        <f t="shared" si="0"/>
        <v>918</v>
      </c>
      <c r="S10" s="550">
        <f t="shared" si="0"/>
        <v>525</v>
      </c>
      <c r="T10" s="550">
        <f t="shared" si="0"/>
        <v>87</v>
      </c>
      <c r="U10" s="550">
        <f t="shared" si="0"/>
        <v>0</v>
      </c>
      <c r="V10" s="550">
        <f t="shared" si="0"/>
        <v>0</v>
      </c>
      <c r="W10" s="550">
        <f t="shared" si="0"/>
        <v>306</v>
      </c>
      <c r="X10" s="550">
        <f t="shared" si="0"/>
        <v>1188</v>
      </c>
      <c r="Y10" s="550">
        <f t="shared" si="0"/>
        <v>664</v>
      </c>
      <c r="Z10" s="550">
        <f t="shared" si="0"/>
        <v>128</v>
      </c>
      <c r="AA10" s="550">
        <f t="shared" si="0"/>
        <v>0</v>
      </c>
      <c r="AB10" s="550">
        <f t="shared" si="0"/>
        <v>0</v>
      </c>
      <c r="AC10" s="550">
        <f t="shared" si="0"/>
        <v>396</v>
      </c>
      <c r="AD10" s="550">
        <f t="shared" si="0"/>
        <v>0</v>
      </c>
      <c r="AE10" s="550">
        <f t="shared" si="0"/>
        <v>0</v>
      </c>
      <c r="AF10" s="550">
        <f t="shared" si="0"/>
        <v>0</v>
      </c>
      <c r="AG10" s="550">
        <f t="shared" si="0"/>
        <v>0</v>
      </c>
      <c r="AH10" s="550">
        <f t="shared" si="0"/>
        <v>0</v>
      </c>
      <c r="AI10" s="550">
        <f t="shared" ref="AI10:BF10" si="1">AI11+AI19</f>
        <v>0</v>
      </c>
      <c r="AJ10" s="550">
        <f t="shared" si="1"/>
        <v>0</v>
      </c>
      <c r="AK10" s="550">
        <f t="shared" si="1"/>
        <v>0</v>
      </c>
      <c r="AL10" s="550">
        <f t="shared" si="1"/>
        <v>0</v>
      </c>
      <c r="AM10" s="550">
        <f t="shared" si="1"/>
        <v>0</v>
      </c>
      <c r="AN10" s="550">
        <f t="shared" si="1"/>
        <v>0</v>
      </c>
      <c r="AO10" s="550">
        <f t="shared" si="1"/>
        <v>0</v>
      </c>
      <c r="AP10" s="550">
        <f t="shared" si="1"/>
        <v>0</v>
      </c>
      <c r="AQ10" s="550">
        <f t="shared" si="1"/>
        <v>0</v>
      </c>
      <c r="AR10" s="550">
        <f t="shared" si="1"/>
        <v>0</v>
      </c>
      <c r="AS10" s="550">
        <f t="shared" si="1"/>
        <v>0</v>
      </c>
      <c r="AT10" s="550">
        <f t="shared" si="1"/>
        <v>0</v>
      </c>
      <c r="AU10" s="550">
        <f t="shared" si="1"/>
        <v>0</v>
      </c>
      <c r="AV10" s="550">
        <f t="shared" si="1"/>
        <v>0</v>
      </c>
      <c r="AW10" s="550">
        <f t="shared" si="1"/>
        <v>0</v>
      </c>
      <c r="AX10" s="550">
        <f t="shared" si="1"/>
        <v>0</v>
      </c>
      <c r="AY10" s="550">
        <f t="shared" si="1"/>
        <v>0</v>
      </c>
      <c r="AZ10" s="550">
        <f t="shared" si="1"/>
        <v>0</v>
      </c>
      <c r="BA10" s="550">
        <f t="shared" si="1"/>
        <v>0</v>
      </c>
      <c r="BB10" s="550">
        <f t="shared" si="1"/>
        <v>0</v>
      </c>
      <c r="BC10" s="550">
        <f t="shared" si="1"/>
        <v>0</v>
      </c>
      <c r="BD10" s="550">
        <f t="shared" si="1"/>
        <v>0</v>
      </c>
      <c r="BE10" s="550">
        <f t="shared" si="1"/>
        <v>0</v>
      </c>
      <c r="BF10" s="550">
        <f t="shared" si="1"/>
        <v>0</v>
      </c>
      <c r="BG10" s="550">
        <f t="shared" ref="BG10:CC10" si="2">BG11+BG19</f>
        <v>0</v>
      </c>
      <c r="BH10" s="550">
        <f t="shared" si="2"/>
        <v>0</v>
      </c>
      <c r="BI10" s="550">
        <f t="shared" si="2"/>
        <v>0</v>
      </c>
      <c r="BJ10" s="550">
        <f t="shared" si="2"/>
        <v>0</v>
      </c>
      <c r="BK10" s="550">
        <f t="shared" si="2"/>
        <v>0</v>
      </c>
      <c r="BL10" s="550">
        <f t="shared" si="2"/>
        <v>0</v>
      </c>
      <c r="BM10" s="550">
        <f t="shared" si="2"/>
        <v>0</v>
      </c>
      <c r="BN10" s="550">
        <f t="shared" si="2"/>
        <v>0</v>
      </c>
      <c r="BO10" s="550">
        <f t="shared" si="2"/>
        <v>0</v>
      </c>
      <c r="BP10" s="550">
        <f t="shared" si="2"/>
        <v>0</v>
      </c>
      <c r="BQ10" s="550">
        <f t="shared" si="2"/>
        <v>0</v>
      </c>
      <c r="BR10" s="550">
        <f t="shared" si="2"/>
        <v>0</v>
      </c>
      <c r="BS10" s="550">
        <f t="shared" si="2"/>
        <v>0</v>
      </c>
      <c r="BT10" s="550">
        <f t="shared" si="2"/>
        <v>0</v>
      </c>
      <c r="BU10" s="550">
        <f t="shared" si="2"/>
        <v>0</v>
      </c>
      <c r="BV10" s="550">
        <f t="shared" si="2"/>
        <v>0</v>
      </c>
      <c r="BW10" s="550">
        <f t="shared" si="2"/>
        <v>0</v>
      </c>
      <c r="BX10" s="550">
        <f t="shared" si="2"/>
        <v>0</v>
      </c>
      <c r="BY10" s="550">
        <f t="shared" si="2"/>
        <v>0</v>
      </c>
      <c r="BZ10" s="550">
        <f t="shared" si="2"/>
        <v>0</v>
      </c>
      <c r="CA10" s="550">
        <f t="shared" si="2"/>
        <v>0</v>
      </c>
      <c r="CB10" s="550">
        <f t="shared" si="2"/>
        <v>0</v>
      </c>
      <c r="CC10" s="550">
        <f t="shared" si="2"/>
        <v>0</v>
      </c>
      <c r="CD10" s="299"/>
      <c r="CE10" s="603"/>
    </row>
    <row r="11" spans="1:83" s="121" customFormat="1" x14ac:dyDescent="0.2">
      <c r="A11" s="618" t="s">
        <v>604</v>
      </c>
      <c r="B11" s="711" t="s">
        <v>602</v>
      </c>
      <c r="C11" s="712"/>
      <c r="D11" s="301"/>
      <c r="E11" s="301"/>
      <c r="F11" s="301"/>
      <c r="G11" s="301"/>
      <c r="H11" s="301"/>
      <c r="I11" s="552" t="s">
        <v>22</v>
      </c>
      <c r="J11" s="552">
        <f>SUM(J12:J18)</f>
        <v>850</v>
      </c>
      <c r="K11" s="552">
        <f t="shared" ref="K11:AH11" si="3">SUM(K12:K18)</f>
        <v>1314</v>
      </c>
      <c r="L11" s="552">
        <f t="shared" si="3"/>
        <v>876</v>
      </c>
      <c r="M11" s="552">
        <f t="shared" si="3"/>
        <v>759</v>
      </c>
      <c r="N11" s="552">
        <f t="shared" si="3"/>
        <v>117</v>
      </c>
      <c r="O11" s="552">
        <f t="shared" si="3"/>
        <v>0</v>
      </c>
      <c r="P11" s="552">
        <f t="shared" si="3"/>
        <v>0</v>
      </c>
      <c r="Q11" s="552">
        <f t="shared" si="3"/>
        <v>438</v>
      </c>
      <c r="R11" s="552">
        <f t="shared" si="3"/>
        <v>529</v>
      </c>
      <c r="S11" s="552">
        <f t="shared" si="3"/>
        <v>302</v>
      </c>
      <c r="T11" s="552">
        <f t="shared" si="3"/>
        <v>51</v>
      </c>
      <c r="U11" s="552">
        <f t="shared" si="3"/>
        <v>0</v>
      </c>
      <c r="V11" s="552">
        <f t="shared" si="3"/>
        <v>0</v>
      </c>
      <c r="W11" s="552">
        <f t="shared" si="3"/>
        <v>176</v>
      </c>
      <c r="X11" s="552">
        <f t="shared" si="3"/>
        <v>785</v>
      </c>
      <c r="Y11" s="552">
        <f t="shared" si="3"/>
        <v>457</v>
      </c>
      <c r="Z11" s="552">
        <f t="shared" si="3"/>
        <v>66</v>
      </c>
      <c r="AA11" s="552">
        <f t="shared" si="3"/>
        <v>0</v>
      </c>
      <c r="AB11" s="552">
        <f t="shared" si="3"/>
        <v>0</v>
      </c>
      <c r="AC11" s="552">
        <f t="shared" si="3"/>
        <v>262</v>
      </c>
      <c r="AD11" s="552">
        <f t="shared" si="3"/>
        <v>0</v>
      </c>
      <c r="AE11" s="552">
        <f t="shared" si="3"/>
        <v>0</v>
      </c>
      <c r="AF11" s="552">
        <f t="shared" si="3"/>
        <v>0</v>
      </c>
      <c r="AG11" s="552">
        <f t="shared" si="3"/>
        <v>0</v>
      </c>
      <c r="AH11" s="552">
        <f t="shared" si="3"/>
        <v>0</v>
      </c>
      <c r="AI11" s="552">
        <f t="shared" ref="AI11:BF11" si="4">SUM(AI12:AI18)</f>
        <v>0</v>
      </c>
      <c r="AJ11" s="552">
        <f t="shared" si="4"/>
        <v>0</v>
      </c>
      <c r="AK11" s="552">
        <f t="shared" si="4"/>
        <v>0</v>
      </c>
      <c r="AL11" s="552">
        <f t="shared" si="4"/>
        <v>0</v>
      </c>
      <c r="AM11" s="552">
        <f t="shared" si="4"/>
        <v>0</v>
      </c>
      <c r="AN11" s="552">
        <f t="shared" si="4"/>
        <v>0</v>
      </c>
      <c r="AO11" s="552">
        <f t="shared" si="4"/>
        <v>0</v>
      </c>
      <c r="AP11" s="552">
        <f t="shared" si="4"/>
        <v>0</v>
      </c>
      <c r="AQ11" s="552">
        <f t="shared" si="4"/>
        <v>0</v>
      </c>
      <c r="AR11" s="552">
        <f t="shared" si="4"/>
        <v>0</v>
      </c>
      <c r="AS11" s="552">
        <f t="shared" si="4"/>
        <v>0</v>
      </c>
      <c r="AT11" s="552">
        <f t="shared" si="4"/>
        <v>0</v>
      </c>
      <c r="AU11" s="552">
        <f t="shared" si="4"/>
        <v>0</v>
      </c>
      <c r="AV11" s="552">
        <f t="shared" si="4"/>
        <v>0</v>
      </c>
      <c r="AW11" s="552">
        <f t="shared" si="4"/>
        <v>0</v>
      </c>
      <c r="AX11" s="552">
        <f t="shared" si="4"/>
        <v>0</v>
      </c>
      <c r="AY11" s="552">
        <f t="shared" si="4"/>
        <v>0</v>
      </c>
      <c r="AZ11" s="552">
        <f t="shared" si="4"/>
        <v>0</v>
      </c>
      <c r="BA11" s="552">
        <f t="shared" si="4"/>
        <v>0</v>
      </c>
      <c r="BB11" s="552">
        <f t="shared" si="4"/>
        <v>0</v>
      </c>
      <c r="BC11" s="552">
        <f t="shared" si="4"/>
        <v>0</v>
      </c>
      <c r="BD11" s="552">
        <f t="shared" si="4"/>
        <v>0</v>
      </c>
      <c r="BE11" s="552">
        <f t="shared" si="4"/>
        <v>0</v>
      </c>
      <c r="BF11" s="552">
        <f t="shared" si="4"/>
        <v>0</v>
      </c>
      <c r="BG11" s="552">
        <f t="shared" ref="BG11:CC11" si="5">SUM(BG12:BG18)</f>
        <v>0</v>
      </c>
      <c r="BH11" s="552">
        <f t="shared" si="5"/>
        <v>0</v>
      </c>
      <c r="BI11" s="552">
        <f t="shared" si="5"/>
        <v>0</v>
      </c>
      <c r="BJ11" s="552">
        <f t="shared" si="5"/>
        <v>0</v>
      </c>
      <c r="BK11" s="552">
        <f t="shared" si="5"/>
        <v>0</v>
      </c>
      <c r="BL11" s="552">
        <f t="shared" si="5"/>
        <v>0</v>
      </c>
      <c r="BM11" s="552">
        <f t="shared" si="5"/>
        <v>0</v>
      </c>
      <c r="BN11" s="552">
        <f t="shared" si="5"/>
        <v>0</v>
      </c>
      <c r="BO11" s="552">
        <f t="shared" si="5"/>
        <v>0</v>
      </c>
      <c r="BP11" s="552">
        <f t="shared" si="5"/>
        <v>0</v>
      </c>
      <c r="BQ11" s="552">
        <f t="shared" si="5"/>
        <v>0</v>
      </c>
      <c r="BR11" s="552">
        <f t="shared" si="5"/>
        <v>0</v>
      </c>
      <c r="BS11" s="552">
        <f t="shared" si="5"/>
        <v>0</v>
      </c>
      <c r="BT11" s="552">
        <f t="shared" si="5"/>
        <v>0</v>
      </c>
      <c r="BU11" s="552">
        <f t="shared" si="5"/>
        <v>0</v>
      </c>
      <c r="BV11" s="552">
        <f t="shared" si="5"/>
        <v>0</v>
      </c>
      <c r="BW11" s="552">
        <f t="shared" si="5"/>
        <v>0</v>
      </c>
      <c r="BX11" s="552">
        <f t="shared" si="5"/>
        <v>0</v>
      </c>
      <c r="BY11" s="552">
        <f t="shared" si="5"/>
        <v>0</v>
      </c>
      <c r="BZ11" s="552">
        <f t="shared" si="5"/>
        <v>0</v>
      </c>
      <c r="CA11" s="552">
        <f t="shared" si="5"/>
        <v>0</v>
      </c>
      <c r="CB11" s="552">
        <f t="shared" si="5"/>
        <v>0</v>
      </c>
      <c r="CC11" s="552">
        <f t="shared" si="5"/>
        <v>0</v>
      </c>
      <c r="CD11" s="301"/>
      <c r="CE11" s="301"/>
    </row>
    <row r="12" spans="1:83" s="142" customFormat="1" ht="19.5" customHeight="1" x14ac:dyDescent="0.2">
      <c r="A12" s="135" t="s">
        <v>605</v>
      </c>
      <c r="B12" s="143" t="s">
        <v>535</v>
      </c>
      <c r="C12" s="134"/>
      <c r="D12" s="135" t="s">
        <v>31</v>
      </c>
      <c r="E12" s="135" t="s">
        <v>27</v>
      </c>
      <c r="F12" s="135"/>
      <c r="G12" s="135"/>
      <c r="H12" s="135"/>
      <c r="I12" s="139"/>
      <c r="J12" s="574">
        <v>195</v>
      </c>
      <c r="K12" s="138">
        <f t="shared" ref="K12:K18" si="6">L12+SUM(Q12:Q12)</f>
        <v>280</v>
      </c>
      <c r="L12" s="138">
        <f t="shared" ref="L12:L18" si="7">SUM(M12:P12)</f>
        <v>200</v>
      </c>
      <c r="M12" s="138">
        <f t="shared" ref="M12:P18" si="8">S12+Y12+AE12+AK12+AQ12+AW12+BC12+BI12+BP12+BX12</f>
        <v>200</v>
      </c>
      <c r="N12" s="138">
        <f t="shared" si="8"/>
        <v>0</v>
      </c>
      <c r="O12" s="138">
        <f t="shared" si="8"/>
        <v>0</v>
      </c>
      <c r="P12" s="138">
        <f t="shared" si="8"/>
        <v>0</v>
      </c>
      <c r="Q12" s="138">
        <f t="shared" ref="Q12:Q18" si="9">W12+AC12+AI12+AO12+AU12+BA12+BG12+BM12+BU12+CC12</f>
        <v>80</v>
      </c>
      <c r="R12" s="253">
        <f t="shared" ref="R12:R18" si="10">SUM(S12:W12)</f>
        <v>94</v>
      </c>
      <c r="S12" s="139">
        <v>68</v>
      </c>
      <c r="T12" s="139"/>
      <c r="U12" s="139"/>
      <c r="V12" s="139"/>
      <c r="W12" s="139">
        <v>26</v>
      </c>
      <c r="X12" s="253">
        <f t="shared" ref="X12:X18" si="11">SUM(Y12:AC12)</f>
        <v>186</v>
      </c>
      <c r="Y12" s="139">
        <v>132</v>
      </c>
      <c r="Z12" s="139"/>
      <c r="AA12" s="139"/>
      <c r="AB12" s="139"/>
      <c r="AC12" s="139">
        <v>54</v>
      </c>
      <c r="AD12" s="253">
        <f t="shared" ref="AD12:AD18" si="12">SUM(AE12:AI12)</f>
        <v>0</v>
      </c>
      <c r="AE12" s="139"/>
      <c r="AF12" s="139"/>
      <c r="AG12" s="139"/>
      <c r="AH12" s="139"/>
      <c r="AI12" s="139"/>
      <c r="AJ12" s="253">
        <f t="shared" ref="AJ12:AJ18" si="13">SUM(AK12:AO12)</f>
        <v>0</v>
      </c>
      <c r="AK12" s="139"/>
      <c r="AL12" s="139"/>
      <c r="AM12" s="139"/>
      <c r="AN12" s="139"/>
      <c r="AO12" s="139"/>
      <c r="AP12" s="253">
        <f t="shared" ref="AP12:AP18" si="14">SUM(AQ12:AU12)</f>
        <v>0</v>
      </c>
      <c r="AQ12" s="139"/>
      <c r="AR12" s="139"/>
      <c r="AS12" s="139"/>
      <c r="AT12" s="139"/>
      <c r="AU12" s="139"/>
      <c r="AV12" s="253">
        <f t="shared" ref="AV12:AV18" si="15">SUM(AW12:BA12)</f>
        <v>0</v>
      </c>
      <c r="AW12" s="139"/>
      <c r="AX12" s="139"/>
      <c r="AY12" s="139"/>
      <c r="AZ12" s="139"/>
      <c r="BA12" s="139"/>
      <c r="BB12" s="253">
        <f t="shared" ref="BB12:BB18" si="16">SUM(BC12:BG12)</f>
        <v>0</v>
      </c>
      <c r="BC12" s="139"/>
      <c r="BD12" s="139"/>
      <c r="BE12" s="139"/>
      <c r="BF12" s="139"/>
      <c r="BG12" s="139"/>
      <c r="BH12" s="253">
        <f t="shared" ref="BH12:BH18" si="17">SUM(BI12:BM12)</f>
        <v>0</v>
      </c>
      <c r="BI12" s="139"/>
      <c r="BJ12" s="139"/>
      <c r="BK12" s="139"/>
      <c r="BL12" s="139"/>
      <c r="BM12" s="139"/>
      <c r="BN12" s="253">
        <f t="shared" ref="BN12:BN17" si="18">SUM(BO12:BU12)</f>
        <v>0</v>
      </c>
      <c r="BO12" s="139"/>
      <c r="BP12" s="139"/>
      <c r="BQ12" s="139"/>
      <c r="BR12" s="139"/>
      <c r="BS12" s="139"/>
      <c r="BT12" s="139"/>
      <c r="BU12" s="139"/>
      <c r="BV12" s="253">
        <f t="shared" ref="BV12:BV17" si="19">SUM(BW12:CC12)</f>
        <v>0</v>
      </c>
      <c r="BW12" s="139"/>
      <c r="BX12" s="139"/>
      <c r="BY12" s="139"/>
      <c r="BZ12" s="139"/>
      <c r="CA12" s="139"/>
      <c r="CB12" s="139"/>
      <c r="CC12" s="139"/>
      <c r="CD12" s="135" t="s">
        <v>509</v>
      </c>
      <c r="CE12" s="135"/>
    </row>
    <row r="13" spans="1:83" s="142" customFormat="1" ht="19.5" customHeight="1" x14ac:dyDescent="0.2">
      <c r="A13" s="135" t="s">
        <v>606</v>
      </c>
      <c r="B13" s="143" t="s">
        <v>130</v>
      </c>
      <c r="C13" s="134"/>
      <c r="D13" s="135"/>
      <c r="E13" s="135" t="s">
        <v>31</v>
      </c>
      <c r="F13" s="135"/>
      <c r="G13" s="135"/>
      <c r="H13" s="135"/>
      <c r="I13" s="139"/>
      <c r="J13" s="139">
        <f t="shared" ref="J13:J16" si="20">L13</f>
        <v>117</v>
      </c>
      <c r="K13" s="138">
        <f t="shared" si="6"/>
        <v>167</v>
      </c>
      <c r="L13" s="138">
        <f t="shared" si="7"/>
        <v>117</v>
      </c>
      <c r="M13" s="138">
        <f t="shared" si="8"/>
        <v>0</v>
      </c>
      <c r="N13" s="138">
        <f t="shared" si="8"/>
        <v>117</v>
      </c>
      <c r="O13" s="138">
        <f t="shared" si="8"/>
        <v>0</v>
      </c>
      <c r="P13" s="138">
        <f t="shared" si="8"/>
        <v>0</v>
      </c>
      <c r="Q13" s="138">
        <f t="shared" si="9"/>
        <v>50</v>
      </c>
      <c r="R13" s="253">
        <f t="shared" si="10"/>
        <v>69</v>
      </c>
      <c r="S13" s="139"/>
      <c r="T13" s="139">
        <v>51</v>
      </c>
      <c r="U13" s="139"/>
      <c r="V13" s="139"/>
      <c r="W13" s="139">
        <v>18</v>
      </c>
      <c r="X13" s="253">
        <f t="shared" si="11"/>
        <v>98</v>
      </c>
      <c r="Y13" s="139"/>
      <c r="Z13" s="139">
        <v>66</v>
      </c>
      <c r="AA13" s="139"/>
      <c r="AB13" s="139"/>
      <c r="AC13" s="139">
        <v>32</v>
      </c>
      <c r="AD13" s="253">
        <f t="shared" si="12"/>
        <v>0</v>
      </c>
      <c r="AE13" s="139"/>
      <c r="AF13" s="139"/>
      <c r="AG13" s="139"/>
      <c r="AH13" s="139"/>
      <c r="AI13" s="139"/>
      <c r="AJ13" s="253">
        <f t="shared" si="13"/>
        <v>0</v>
      </c>
      <c r="AK13" s="139"/>
      <c r="AL13" s="139"/>
      <c r="AM13" s="139"/>
      <c r="AN13" s="139"/>
      <c r="AO13" s="139"/>
      <c r="AP13" s="253">
        <f t="shared" si="14"/>
        <v>0</v>
      </c>
      <c r="AQ13" s="139"/>
      <c r="AR13" s="139"/>
      <c r="AS13" s="139"/>
      <c r="AT13" s="139"/>
      <c r="AU13" s="139"/>
      <c r="AV13" s="253">
        <f t="shared" si="15"/>
        <v>0</v>
      </c>
      <c r="AW13" s="139"/>
      <c r="AX13" s="139"/>
      <c r="AY13" s="139"/>
      <c r="AZ13" s="139"/>
      <c r="BA13" s="139"/>
      <c r="BB13" s="253">
        <f t="shared" si="16"/>
        <v>0</v>
      </c>
      <c r="BC13" s="139"/>
      <c r="BD13" s="139"/>
      <c r="BE13" s="139"/>
      <c r="BF13" s="139"/>
      <c r="BG13" s="139"/>
      <c r="BH13" s="253">
        <f t="shared" si="17"/>
        <v>0</v>
      </c>
      <c r="BI13" s="139"/>
      <c r="BJ13" s="139"/>
      <c r="BK13" s="139"/>
      <c r="BL13" s="139"/>
      <c r="BM13" s="139"/>
      <c r="BN13" s="253">
        <f t="shared" si="18"/>
        <v>0</v>
      </c>
      <c r="BO13" s="139"/>
      <c r="BP13" s="139"/>
      <c r="BQ13" s="139"/>
      <c r="BR13" s="139"/>
      <c r="BS13" s="139"/>
      <c r="BT13" s="139"/>
      <c r="BU13" s="139"/>
      <c r="BV13" s="253">
        <f t="shared" si="19"/>
        <v>0</v>
      </c>
      <c r="BW13" s="139"/>
      <c r="BX13" s="139"/>
      <c r="BY13" s="139"/>
      <c r="BZ13" s="139"/>
      <c r="CA13" s="139"/>
      <c r="CB13" s="139"/>
      <c r="CC13" s="139"/>
      <c r="CD13" s="135" t="s">
        <v>509</v>
      </c>
      <c r="CE13" s="135"/>
    </row>
    <row r="14" spans="1:83" s="142" customFormat="1" ht="25.5" x14ac:dyDescent="0.2">
      <c r="A14" s="135" t="s">
        <v>607</v>
      </c>
      <c r="B14" s="143" t="s">
        <v>550</v>
      </c>
      <c r="C14" s="134"/>
      <c r="D14" s="135" t="s">
        <v>31</v>
      </c>
      <c r="E14" s="135" t="s">
        <v>27</v>
      </c>
      <c r="F14" s="135"/>
      <c r="G14" s="135"/>
      <c r="H14" s="135"/>
      <c r="I14" s="139"/>
      <c r="J14" s="139">
        <v>234</v>
      </c>
      <c r="K14" s="138">
        <f t="shared" si="6"/>
        <v>368</v>
      </c>
      <c r="L14" s="138">
        <f t="shared" si="7"/>
        <v>255</v>
      </c>
      <c r="M14" s="138">
        <f t="shared" si="8"/>
        <v>255</v>
      </c>
      <c r="N14" s="138">
        <f t="shared" si="8"/>
        <v>0</v>
      </c>
      <c r="O14" s="138">
        <f t="shared" si="8"/>
        <v>0</v>
      </c>
      <c r="P14" s="138">
        <f t="shared" si="8"/>
        <v>0</v>
      </c>
      <c r="Q14" s="138">
        <f t="shared" si="9"/>
        <v>113</v>
      </c>
      <c r="R14" s="253">
        <f t="shared" si="10"/>
        <v>153</v>
      </c>
      <c r="S14" s="139">
        <v>102</v>
      </c>
      <c r="T14" s="139"/>
      <c r="U14" s="139"/>
      <c r="V14" s="139"/>
      <c r="W14" s="139">
        <v>51</v>
      </c>
      <c r="X14" s="253">
        <f t="shared" si="11"/>
        <v>215</v>
      </c>
      <c r="Y14" s="139">
        <v>153</v>
      </c>
      <c r="Z14" s="139"/>
      <c r="AA14" s="139"/>
      <c r="AB14" s="139"/>
      <c r="AC14" s="139">
        <v>62</v>
      </c>
      <c r="AD14" s="253">
        <f t="shared" si="12"/>
        <v>0</v>
      </c>
      <c r="AE14" s="139"/>
      <c r="AF14" s="139"/>
      <c r="AG14" s="139"/>
      <c r="AH14" s="139"/>
      <c r="AI14" s="139"/>
      <c r="AJ14" s="253">
        <f t="shared" si="13"/>
        <v>0</v>
      </c>
      <c r="AK14" s="139"/>
      <c r="AL14" s="139"/>
      <c r="AM14" s="139"/>
      <c r="AN14" s="139"/>
      <c r="AO14" s="139"/>
      <c r="AP14" s="253">
        <f t="shared" si="14"/>
        <v>0</v>
      </c>
      <c r="AQ14" s="139"/>
      <c r="AR14" s="139"/>
      <c r="AS14" s="139"/>
      <c r="AT14" s="139"/>
      <c r="AU14" s="139"/>
      <c r="AV14" s="253">
        <f t="shared" si="15"/>
        <v>0</v>
      </c>
      <c r="AW14" s="139"/>
      <c r="AX14" s="139"/>
      <c r="AY14" s="139"/>
      <c r="AZ14" s="139"/>
      <c r="BA14" s="139"/>
      <c r="BB14" s="253">
        <f t="shared" si="16"/>
        <v>0</v>
      </c>
      <c r="BC14" s="139"/>
      <c r="BD14" s="139"/>
      <c r="BE14" s="139"/>
      <c r="BF14" s="139"/>
      <c r="BG14" s="139"/>
      <c r="BH14" s="253">
        <f t="shared" si="17"/>
        <v>0</v>
      </c>
      <c r="BI14" s="139"/>
      <c r="BJ14" s="139"/>
      <c r="BK14" s="139"/>
      <c r="BL14" s="139"/>
      <c r="BM14" s="139"/>
      <c r="BN14" s="253">
        <f>SUM(BO14:BU14)</f>
        <v>0</v>
      </c>
      <c r="BO14" s="139"/>
      <c r="BP14" s="139"/>
      <c r="BQ14" s="139"/>
      <c r="BR14" s="139"/>
      <c r="BS14" s="139"/>
      <c r="BT14" s="139"/>
      <c r="BU14" s="139"/>
      <c r="BV14" s="253">
        <f>SUM(BW14:CC14)</f>
        <v>0</v>
      </c>
      <c r="BW14" s="139"/>
      <c r="BX14" s="139"/>
      <c r="BY14" s="139"/>
      <c r="BZ14" s="139"/>
      <c r="CA14" s="139"/>
      <c r="CB14" s="139"/>
      <c r="CC14" s="139"/>
      <c r="CD14" s="135" t="s">
        <v>510</v>
      </c>
      <c r="CE14" s="556"/>
    </row>
    <row r="15" spans="1:83" s="142" customFormat="1" ht="18.75" customHeight="1" x14ac:dyDescent="0.2">
      <c r="A15" s="135" t="s">
        <v>608</v>
      </c>
      <c r="B15" s="143" t="s">
        <v>129</v>
      </c>
      <c r="C15" s="134"/>
      <c r="D15" s="135" t="s">
        <v>31</v>
      </c>
      <c r="E15" s="135"/>
      <c r="F15" s="135"/>
      <c r="G15" s="135"/>
      <c r="H15" s="135"/>
      <c r="I15" s="139"/>
      <c r="J15" s="139">
        <f t="shared" si="20"/>
        <v>117</v>
      </c>
      <c r="K15" s="138">
        <f t="shared" si="6"/>
        <v>167</v>
      </c>
      <c r="L15" s="138">
        <f t="shared" si="7"/>
        <v>117</v>
      </c>
      <c r="M15" s="138">
        <f t="shared" si="8"/>
        <v>117</v>
      </c>
      <c r="N15" s="138">
        <f t="shared" si="8"/>
        <v>0</v>
      </c>
      <c r="O15" s="138">
        <f t="shared" si="8"/>
        <v>0</v>
      </c>
      <c r="P15" s="138">
        <f t="shared" si="8"/>
        <v>0</v>
      </c>
      <c r="Q15" s="138">
        <f t="shared" si="9"/>
        <v>50</v>
      </c>
      <c r="R15" s="253">
        <f t="shared" si="10"/>
        <v>69</v>
      </c>
      <c r="S15" s="139">
        <v>51</v>
      </c>
      <c r="T15" s="139"/>
      <c r="U15" s="139"/>
      <c r="V15" s="139"/>
      <c r="W15" s="139">
        <v>18</v>
      </c>
      <c r="X15" s="253">
        <f t="shared" si="11"/>
        <v>98</v>
      </c>
      <c r="Y15" s="139">
        <v>66</v>
      </c>
      <c r="Z15" s="139"/>
      <c r="AA15" s="139"/>
      <c r="AB15" s="139"/>
      <c r="AC15" s="139">
        <v>32</v>
      </c>
      <c r="AD15" s="253">
        <f t="shared" si="12"/>
        <v>0</v>
      </c>
      <c r="AE15" s="139"/>
      <c r="AF15" s="139"/>
      <c r="AG15" s="139"/>
      <c r="AH15" s="139"/>
      <c r="AI15" s="139"/>
      <c r="AJ15" s="253">
        <f t="shared" si="13"/>
        <v>0</v>
      </c>
      <c r="AK15" s="139"/>
      <c r="AL15" s="139"/>
      <c r="AM15" s="139"/>
      <c r="AN15" s="139"/>
      <c r="AO15" s="139"/>
      <c r="AP15" s="253">
        <f t="shared" si="14"/>
        <v>0</v>
      </c>
      <c r="AQ15" s="139"/>
      <c r="AR15" s="139"/>
      <c r="AS15" s="139"/>
      <c r="AT15" s="139"/>
      <c r="AU15" s="139"/>
      <c r="AV15" s="253">
        <f t="shared" si="15"/>
        <v>0</v>
      </c>
      <c r="AW15" s="139"/>
      <c r="AX15" s="139"/>
      <c r="AY15" s="139"/>
      <c r="AZ15" s="139"/>
      <c r="BA15" s="139"/>
      <c r="BB15" s="253">
        <f t="shared" si="16"/>
        <v>0</v>
      </c>
      <c r="BC15" s="139"/>
      <c r="BD15" s="139"/>
      <c r="BE15" s="139"/>
      <c r="BF15" s="139"/>
      <c r="BG15" s="139"/>
      <c r="BH15" s="253">
        <f t="shared" si="17"/>
        <v>0</v>
      </c>
      <c r="BI15" s="139"/>
      <c r="BJ15" s="139"/>
      <c r="BK15" s="139"/>
      <c r="BL15" s="139"/>
      <c r="BM15" s="139"/>
      <c r="BN15" s="253">
        <f t="shared" si="18"/>
        <v>0</v>
      </c>
      <c r="BO15" s="139"/>
      <c r="BP15" s="139"/>
      <c r="BQ15" s="139"/>
      <c r="BR15" s="139"/>
      <c r="BS15" s="139"/>
      <c r="BT15" s="139"/>
      <c r="BU15" s="139"/>
      <c r="BV15" s="253">
        <f t="shared" si="19"/>
        <v>0</v>
      </c>
      <c r="BW15" s="139"/>
      <c r="BX15" s="139"/>
      <c r="BY15" s="139"/>
      <c r="BZ15" s="139"/>
      <c r="CA15" s="139"/>
      <c r="CB15" s="139"/>
      <c r="CC15" s="139"/>
      <c r="CD15" s="135" t="s">
        <v>509</v>
      </c>
      <c r="CE15" s="556"/>
    </row>
    <row r="16" spans="1:83" s="142" customFormat="1" ht="18.75" customHeight="1" x14ac:dyDescent="0.2">
      <c r="A16" s="135" t="s">
        <v>609</v>
      </c>
      <c r="B16" s="143" t="s">
        <v>7</v>
      </c>
      <c r="C16" s="134"/>
      <c r="D16" s="135"/>
      <c r="E16" s="135" t="s">
        <v>260</v>
      </c>
      <c r="F16" s="135"/>
      <c r="G16" s="135"/>
      <c r="H16" s="135"/>
      <c r="I16" s="139"/>
      <c r="J16" s="139">
        <f t="shared" si="20"/>
        <v>117</v>
      </c>
      <c r="K16" s="138">
        <f t="shared" si="6"/>
        <v>234</v>
      </c>
      <c r="L16" s="138">
        <f t="shared" si="7"/>
        <v>117</v>
      </c>
      <c r="M16" s="138">
        <f t="shared" si="8"/>
        <v>117</v>
      </c>
      <c r="N16" s="138">
        <f t="shared" si="8"/>
        <v>0</v>
      </c>
      <c r="O16" s="138">
        <f t="shared" si="8"/>
        <v>0</v>
      </c>
      <c r="P16" s="138">
        <f t="shared" si="8"/>
        <v>0</v>
      </c>
      <c r="Q16" s="138">
        <f t="shared" si="9"/>
        <v>117</v>
      </c>
      <c r="R16" s="253">
        <f t="shared" si="10"/>
        <v>102</v>
      </c>
      <c r="S16" s="139">
        <v>51</v>
      </c>
      <c r="T16" s="139"/>
      <c r="U16" s="139"/>
      <c r="V16" s="139"/>
      <c r="W16" s="139">
        <v>51</v>
      </c>
      <c r="X16" s="253">
        <f t="shared" si="11"/>
        <v>132</v>
      </c>
      <c r="Y16" s="139">
        <v>66</v>
      </c>
      <c r="Z16" s="139"/>
      <c r="AA16" s="139"/>
      <c r="AB16" s="139"/>
      <c r="AC16" s="139">
        <v>66</v>
      </c>
      <c r="AD16" s="253">
        <f t="shared" si="12"/>
        <v>0</v>
      </c>
      <c r="AE16" s="139"/>
      <c r="AF16" s="139"/>
      <c r="AG16" s="139"/>
      <c r="AH16" s="139"/>
      <c r="AI16" s="139"/>
      <c r="AJ16" s="253">
        <f t="shared" si="13"/>
        <v>0</v>
      </c>
      <c r="AK16" s="139"/>
      <c r="AL16" s="139"/>
      <c r="AM16" s="139"/>
      <c r="AN16" s="139"/>
      <c r="AO16" s="139"/>
      <c r="AP16" s="253">
        <f t="shared" si="14"/>
        <v>0</v>
      </c>
      <c r="AQ16" s="139"/>
      <c r="AR16" s="139"/>
      <c r="AS16" s="139"/>
      <c r="AT16" s="139"/>
      <c r="AU16" s="139"/>
      <c r="AV16" s="253">
        <f t="shared" si="15"/>
        <v>0</v>
      </c>
      <c r="AW16" s="139"/>
      <c r="AX16" s="139"/>
      <c r="AY16" s="139"/>
      <c r="AZ16" s="139"/>
      <c r="BA16" s="139"/>
      <c r="BB16" s="253">
        <f t="shared" si="16"/>
        <v>0</v>
      </c>
      <c r="BC16" s="139"/>
      <c r="BD16" s="139"/>
      <c r="BE16" s="139"/>
      <c r="BF16" s="139"/>
      <c r="BG16" s="139"/>
      <c r="BH16" s="253">
        <f t="shared" si="17"/>
        <v>0</v>
      </c>
      <c r="BI16" s="139"/>
      <c r="BJ16" s="139"/>
      <c r="BK16" s="139"/>
      <c r="BL16" s="139"/>
      <c r="BM16" s="139"/>
      <c r="BN16" s="253">
        <f t="shared" si="18"/>
        <v>0</v>
      </c>
      <c r="BO16" s="139"/>
      <c r="BP16" s="139"/>
      <c r="BQ16" s="139"/>
      <c r="BR16" s="139"/>
      <c r="BS16" s="139"/>
      <c r="BT16" s="139"/>
      <c r="BU16" s="139"/>
      <c r="BV16" s="253">
        <f t="shared" si="19"/>
        <v>0</v>
      </c>
      <c r="BW16" s="139"/>
      <c r="BX16" s="139"/>
      <c r="BY16" s="139"/>
      <c r="BZ16" s="139"/>
      <c r="CA16" s="139"/>
      <c r="CB16" s="139"/>
      <c r="CC16" s="139"/>
      <c r="CD16" s="135" t="s">
        <v>511</v>
      </c>
      <c r="CE16" s="135"/>
    </row>
    <row r="17" spans="1:83" s="142" customFormat="1" ht="25.5" x14ac:dyDescent="0.2">
      <c r="A17" s="135" t="s">
        <v>610</v>
      </c>
      <c r="B17" s="143" t="s">
        <v>506</v>
      </c>
      <c r="C17" s="134"/>
      <c r="D17" s="135"/>
      <c r="E17" s="135" t="s">
        <v>31</v>
      </c>
      <c r="F17" s="135"/>
      <c r="G17" s="135"/>
      <c r="H17" s="135"/>
      <c r="I17" s="139"/>
      <c r="J17" s="139">
        <v>70</v>
      </c>
      <c r="K17" s="138">
        <f t="shared" si="6"/>
        <v>98</v>
      </c>
      <c r="L17" s="138">
        <f t="shared" si="7"/>
        <v>70</v>
      </c>
      <c r="M17" s="138">
        <f t="shared" si="8"/>
        <v>70</v>
      </c>
      <c r="N17" s="138">
        <f t="shared" si="8"/>
        <v>0</v>
      </c>
      <c r="O17" s="138">
        <f t="shared" si="8"/>
        <v>0</v>
      </c>
      <c r="P17" s="138">
        <f t="shared" si="8"/>
        <v>0</v>
      </c>
      <c r="Q17" s="138">
        <f t="shared" si="9"/>
        <v>28</v>
      </c>
      <c r="R17" s="253">
        <f t="shared" si="10"/>
        <v>42</v>
      </c>
      <c r="S17" s="139">
        <v>30</v>
      </c>
      <c r="T17" s="139"/>
      <c r="U17" s="139"/>
      <c r="V17" s="139"/>
      <c r="W17" s="139">
        <v>12</v>
      </c>
      <c r="X17" s="253">
        <f t="shared" si="11"/>
        <v>56</v>
      </c>
      <c r="Y17" s="139">
        <v>40</v>
      </c>
      <c r="Z17" s="139"/>
      <c r="AA17" s="139"/>
      <c r="AB17" s="139"/>
      <c r="AC17" s="139">
        <v>16</v>
      </c>
      <c r="AD17" s="253">
        <f t="shared" si="12"/>
        <v>0</v>
      </c>
      <c r="AE17" s="139"/>
      <c r="AF17" s="139"/>
      <c r="AG17" s="139"/>
      <c r="AH17" s="139"/>
      <c r="AI17" s="139"/>
      <c r="AJ17" s="253">
        <f t="shared" si="13"/>
        <v>0</v>
      </c>
      <c r="AK17" s="139"/>
      <c r="AL17" s="139"/>
      <c r="AM17" s="139"/>
      <c r="AN17" s="139"/>
      <c r="AO17" s="139"/>
      <c r="AP17" s="253">
        <f t="shared" si="14"/>
        <v>0</v>
      </c>
      <c r="AQ17" s="139"/>
      <c r="AR17" s="139"/>
      <c r="AS17" s="139"/>
      <c r="AT17" s="139"/>
      <c r="AU17" s="139"/>
      <c r="AV17" s="253">
        <f t="shared" si="15"/>
        <v>0</v>
      </c>
      <c r="AW17" s="139"/>
      <c r="AX17" s="139"/>
      <c r="AY17" s="139"/>
      <c r="AZ17" s="139"/>
      <c r="BA17" s="139"/>
      <c r="BB17" s="253">
        <f t="shared" si="16"/>
        <v>0</v>
      </c>
      <c r="BC17" s="139"/>
      <c r="BD17" s="139"/>
      <c r="BE17" s="139"/>
      <c r="BF17" s="139"/>
      <c r="BG17" s="139"/>
      <c r="BH17" s="253">
        <f t="shared" si="17"/>
        <v>0</v>
      </c>
      <c r="BI17" s="139"/>
      <c r="BJ17" s="139"/>
      <c r="BK17" s="139"/>
      <c r="BL17" s="139"/>
      <c r="BM17" s="139"/>
      <c r="BN17" s="253">
        <f t="shared" si="18"/>
        <v>0</v>
      </c>
      <c r="BO17" s="139"/>
      <c r="BP17" s="139"/>
      <c r="BQ17" s="139"/>
      <c r="BR17" s="139"/>
      <c r="BS17" s="139"/>
      <c r="BT17" s="139"/>
      <c r="BU17" s="139"/>
      <c r="BV17" s="253">
        <f t="shared" si="19"/>
        <v>0</v>
      </c>
      <c r="BW17" s="139"/>
      <c r="BX17" s="139"/>
      <c r="BY17" s="139"/>
      <c r="BZ17" s="139"/>
      <c r="CA17" s="139"/>
      <c r="CB17" s="139"/>
      <c r="CC17" s="139"/>
      <c r="CD17" s="135" t="s">
        <v>512</v>
      </c>
      <c r="CE17" s="135"/>
    </row>
    <row r="18" spans="1:83" s="142" customFormat="1" ht="12.75" hidden="1" customHeight="1" x14ac:dyDescent="0.2">
      <c r="A18" s="584"/>
      <c r="B18" s="143"/>
      <c r="C18" s="134"/>
      <c r="D18" s="135"/>
      <c r="E18" s="135"/>
      <c r="F18" s="135"/>
      <c r="G18" s="135"/>
      <c r="H18" s="135"/>
      <c r="I18" s="139"/>
      <c r="J18" s="139"/>
      <c r="K18" s="138">
        <f t="shared" si="6"/>
        <v>0</v>
      </c>
      <c r="L18" s="138">
        <f t="shared" si="7"/>
        <v>0</v>
      </c>
      <c r="M18" s="138">
        <f t="shared" si="8"/>
        <v>0</v>
      </c>
      <c r="N18" s="138">
        <f t="shared" si="8"/>
        <v>0</v>
      </c>
      <c r="O18" s="138">
        <f t="shared" si="8"/>
        <v>0</v>
      </c>
      <c r="P18" s="138">
        <f t="shared" si="8"/>
        <v>0</v>
      </c>
      <c r="Q18" s="138">
        <f t="shared" si="9"/>
        <v>0</v>
      </c>
      <c r="R18" s="253">
        <f t="shared" si="10"/>
        <v>0</v>
      </c>
      <c r="S18" s="139"/>
      <c r="T18" s="139"/>
      <c r="U18" s="139"/>
      <c r="V18" s="139"/>
      <c r="W18" s="139"/>
      <c r="X18" s="253">
        <f t="shared" si="11"/>
        <v>0</v>
      </c>
      <c r="Y18" s="139"/>
      <c r="Z18" s="139"/>
      <c r="AA18" s="139"/>
      <c r="AB18" s="139"/>
      <c r="AC18" s="139"/>
      <c r="AD18" s="253">
        <f t="shared" si="12"/>
        <v>0</v>
      </c>
      <c r="AE18" s="139"/>
      <c r="AF18" s="139"/>
      <c r="AG18" s="139"/>
      <c r="AH18" s="139"/>
      <c r="AI18" s="139"/>
      <c r="AJ18" s="253">
        <f t="shared" si="13"/>
        <v>0</v>
      </c>
      <c r="AK18" s="139"/>
      <c r="AL18" s="139"/>
      <c r="AM18" s="139"/>
      <c r="AN18" s="139"/>
      <c r="AO18" s="139"/>
      <c r="AP18" s="253">
        <f t="shared" si="14"/>
        <v>0</v>
      </c>
      <c r="AQ18" s="139"/>
      <c r="AR18" s="139"/>
      <c r="AS18" s="139"/>
      <c r="AT18" s="139"/>
      <c r="AU18" s="139"/>
      <c r="AV18" s="253">
        <f t="shared" si="15"/>
        <v>0</v>
      </c>
      <c r="AW18" s="139"/>
      <c r="AX18" s="139"/>
      <c r="AY18" s="139"/>
      <c r="AZ18" s="139"/>
      <c r="BA18" s="139"/>
      <c r="BB18" s="253">
        <f t="shared" si="16"/>
        <v>0</v>
      </c>
      <c r="BC18" s="139"/>
      <c r="BD18" s="139"/>
      <c r="BE18" s="139"/>
      <c r="BF18" s="139"/>
      <c r="BG18" s="139"/>
      <c r="BH18" s="253">
        <f t="shared" si="17"/>
        <v>0</v>
      </c>
      <c r="BI18" s="139"/>
      <c r="BJ18" s="139"/>
      <c r="BK18" s="139"/>
      <c r="BL18" s="139"/>
      <c r="BM18" s="139"/>
      <c r="BN18" s="253">
        <f t="shared" ref="BN18" si="21">SUM(BO18:BU18)</f>
        <v>0</v>
      </c>
      <c r="BO18" s="139"/>
      <c r="BP18" s="139"/>
      <c r="BQ18" s="139"/>
      <c r="BR18" s="139"/>
      <c r="BS18" s="139"/>
      <c r="BT18" s="139"/>
      <c r="BU18" s="139"/>
      <c r="BV18" s="253">
        <f t="shared" ref="BV18" si="22">SUM(BW18:CC18)</f>
        <v>0</v>
      </c>
      <c r="BW18" s="139"/>
      <c r="BX18" s="139"/>
      <c r="BY18" s="139"/>
      <c r="BZ18" s="139"/>
      <c r="CA18" s="139"/>
      <c r="CB18" s="139"/>
      <c r="CC18" s="139"/>
      <c r="CD18" s="135"/>
      <c r="CE18" s="135"/>
    </row>
    <row r="19" spans="1:83" s="121" customFormat="1" ht="30" customHeight="1" x14ac:dyDescent="0.2">
      <c r="A19" s="618" t="s">
        <v>593</v>
      </c>
      <c r="B19" s="711" t="s">
        <v>601</v>
      </c>
      <c r="C19" s="712"/>
      <c r="D19" s="712"/>
      <c r="E19" s="712"/>
      <c r="F19" s="712"/>
      <c r="G19" s="712"/>
      <c r="H19" s="712"/>
      <c r="I19" s="552" t="s">
        <v>22</v>
      </c>
      <c r="J19" s="552">
        <f>SUM(J20:J26)</f>
        <v>515</v>
      </c>
      <c r="K19" s="552">
        <f t="shared" ref="K19:P19" si="23">SUM(K20:K26)</f>
        <v>792</v>
      </c>
      <c r="L19" s="552">
        <f t="shared" si="23"/>
        <v>528</v>
      </c>
      <c r="M19" s="552">
        <f t="shared" si="23"/>
        <v>430</v>
      </c>
      <c r="N19" s="552">
        <f t="shared" si="23"/>
        <v>98</v>
      </c>
      <c r="O19" s="552">
        <f t="shared" si="23"/>
        <v>0</v>
      </c>
      <c r="P19" s="552">
        <f t="shared" si="23"/>
        <v>0</v>
      </c>
      <c r="Q19" s="552">
        <f t="shared" ref="Q19:BL19" si="24">SUM(Q20:Q26)</f>
        <v>264</v>
      </c>
      <c r="R19" s="552">
        <f t="shared" si="24"/>
        <v>389</v>
      </c>
      <c r="S19" s="552">
        <f t="shared" si="24"/>
        <v>223</v>
      </c>
      <c r="T19" s="552">
        <f t="shared" si="24"/>
        <v>36</v>
      </c>
      <c r="U19" s="552">
        <f t="shared" si="24"/>
        <v>0</v>
      </c>
      <c r="V19" s="552">
        <f t="shared" si="24"/>
        <v>0</v>
      </c>
      <c r="W19" s="552">
        <f t="shared" si="24"/>
        <v>130</v>
      </c>
      <c r="X19" s="552">
        <f t="shared" si="24"/>
        <v>403</v>
      </c>
      <c r="Y19" s="552">
        <f t="shared" si="24"/>
        <v>207</v>
      </c>
      <c r="Z19" s="552">
        <f t="shared" si="24"/>
        <v>62</v>
      </c>
      <c r="AA19" s="552">
        <f t="shared" si="24"/>
        <v>0</v>
      </c>
      <c r="AB19" s="552">
        <f t="shared" si="24"/>
        <v>0</v>
      </c>
      <c r="AC19" s="552">
        <f t="shared" si="24"/>
        <v>134</v>
      </c>
      <c r="AD19" s="552">
        <f t="shared" si="24"/>
        <v>0</v>
      </c>
      <c r="AE19" s="552">
        <f t="shared" si="24"/>
        <v>0</v>
      </c>
      <c r="AF19" s="552">
        <f t="shared" si="24"/>
        <v>0</v>
      </c>
      <c r="AG19" s="552">
        <f t="shared" si="24"/>
        <v>0</v>
      </c>
      <c r="AH19" s="552">
        <f t="shared" si="24"/>
        <v>0</v>
      </c>
      <c r="AI19" s="552">
        <f t="shared" si="24"/>
        <v>0</v>
      </c>
      <c r="AJ19" s="552">
        <f t="shared" si="24"/>
        <v>0</v>
      </c>
      <c r="AK19" s="552">
        <f t="shared" si="24"/>
        <v>0</v>
      </c>
      <c r="AL19" s="552">
        <f t="shared" si="24"/>
        <v>0</v>
      </c>
      <c r="AM19" s="552">
        <f t="shared" si="24"/>
        <v>0</v>
      </c>
      <c r="AN19" s="552">
        <f t="shared" si="24"/>
        <v>0</v>
      </c>
      <c r="AO19" s="552">
        <f t="shared" si="24"/>
        <v>0</v>
      </c>
      <c r="AP19" s="552">
        <f t="shared" si="24"/>
        <v>0</v>
      </c>
      <c r="AQ19" s="552">
        <f t="shared" si="24"/>
        <v>0</v>
      </c>
      <c r="AR19" s="552">
        <f t="shared" si="24"/>
        <v>0</v>
      </c>
      <c r="AS19" s="552">
        <f t="shared" si="24"/>
        <v>0</v>
      </c>
      <c r="AT19" s="552">
        <f t="shared" si="24"/>
        <v>0</v>
      </c>
      <c r="AU19" s="552">
        <f t="shared" si="24"/>
        <v>0</v>
      </c>
      <c r="AV19" s="552">
        <f t="shared" si="24"/>
        <v>0</v>
      </c>
      <c r="AW19" s="552">
        <f t="shared" si="24"/>
        <v>0</v>
      </c>
      <c r="AX19" s="552">
        <f t="shared" si="24"/>
        <v>0</v>
      </c>
      <c r="AY19" s="552">
        <f t="shared" si="24"/>
        <v>0</v>
      </c>
      <c r="AZ19" s="552">
        <f t="shared" si="24"/>
        <v>0</v>
      </c>
      <c r="BA19" s="552">
        <f t="shared" si="24"/>
        <v>0</v>
      </c>
      <c r="BB19" s="552">
        <f t="shared" si="24"/>
        <v>0</v>
      </c>
      <c r="BC19" s="552">
        <f t="shared" si="24"/>
        <v>0</v>
      </c>
      <c r="BD19" s="552">
        <f t="shared" si="24"/>
        <v>0</v>
      </c>
      <c r="BE19" s="552">
        <f t="shared" si="24"/>
        <v>0</v>
      </c>
      <c r="BF19" s="552">
        <f t="shared" si="24"/>
        <v>0</v>
      </c>
      <c r="BG19" s="552">
        <f t="shared" si="24"/>
        <v>0</v>
      </c>
      <c r="BH19" s="552">
        <f t="shared" si="24"/>
        <v>0</v>
      </c>
      <c r="BI19" s="552">
        <f t="shared" si="24"/>
        <v>0</v>
      </c>
      <c r="BJ19" s="552">
        <f t="shared" si="24"/>
        <v>0</v>
      </c>
      <c r="BK19" s="552">
        <f t="shared" si="24"/>
        <v>0</v>
      </c>
      <c r="BL19" s="552">
        <f t="shared" si="24"/>
        <v>0</v>
      </c>
      <c r="BM19" s="552">
        <f t="shared" ref="BM19:CC19" si="25">SUM(BM20:BM26)</f>
        <v>0</v>
      </c>
      <c r="BN19" s="552">
        <f t="shared" si="25"/>
        <v>0</v>
      </c>
      <c r="BO19" s="552">
        <f t="shared" si="25"/>
        <v>0</v>
      </c>
      <c r="BP19" s="552">
        <f t="shared" si="25"/>
        <v>0</v>
      </c>
      <c r="BQ19" s="552">
        <f t="shared" si="25"/>
        <v>0</v>
      </c>
      <c r="BR19" s="552">
        <f t="shared" si="25"/>
        <v>0</v>
      </c>
      <c r="BS19" s="552">
        <f t="shared" si="25"/>
        <v>0</v>
      </c>
      <c r="BT19" s="552">
        <f t="shared" si="25"/>
        <v>0</v>
      </c>
      <c r="BU19" s="552">
        <f t="shared" si="25"/>
        <v>0</v>
      </c>
      <c r="BV19" s="552">
        <f t="shared" si="25"/>
        <v>0</v>
      </c>
      <c r="BW19" s="552">
        <f t="shared" si="25"/>
        <v>0</v>
      </c>
      <c r="BX19" s="552">
        <f t="shared" si="25"/>
        <v>0</v>
      </c>
      <c r="BY19" s="552">
        <f t="shared" si="25"/>
        <v>0</v>
      </c>
      <c r="BZ19" s="552">
        <f t="shared" si="25"/>
        <v>0</v>
      </c>
      <c r="CA19" s="552">
        <f t="shared" si="25"/>
        <v>0</v>
      </c>
      <c r="CB19" s="552">
        <f t="shared" si="25"/>
        <v>0</v>
      </c>
      <c r="CC19" s="552">
        <f t="shared" si="25"/>
        <v>0</v>
      </c>
      <c r="CD19" s="301"/>
      <c r="CE19" s="301"/>
    </row>
    <row r="20" spans="1:83" s="142" customFormat="1" ht="18.75" customHeight="1" x14ac:dyDescent="0.2">
      <c r="A20" s="135" t="s">
        <v>594</v>
      </c>
      <c r="B20" s="143" t="s">
        <v>132</v>
      </c>
      <c r="C20" s="134"/>
      <c r="D20" s="135"/>
      <c r="E20" s="135" t="s">
        <v>31</v>
      </c>
      <c r="F20" s="135"/>
      <c r="G20" s="135"/>
      <c r="H20" s="135"/>
      <c r="I20" s="139"/>
      <c r="J20" s="139">
        <f t="shared" ref="J20" si="26">L20</f>
        <v>100</v>
      </c>
      <c r="K20" s="138">
        <f t="shared" ref="K20:K26" si="27">L20+SUM(Q20:Q20)</f>
        <v>150</v>
      </c>
      <c r="L20" s="138">
        <f t="shared" ref="L20:L26" si="28">SUM(M20:P20)</f>
        <v>100</v>
      </c>
      <c r="M20" s="138">
        <f t="shared" ref="M20:P26" si="29">S20+Y20+AE20+AK20+AQ20+AW20+BC20+BI20+BP20+BX20</f>
        <v>60</v>
      </c>
      <c r="N20" s="138">
        <f t="shared" si="29"/>
        <v>40</v>
      </c>
      <c r="O20" s="138">
        <f t="shared" si="29"/>
        <v>0</v>
      </c>
      <c r="P20" s="138">
        <f t="shared" si="29"/>
        <v>0</v>
      </c>
      <c r="Q20" s="138">
        <f t="shared" ref="Q20:Q26" si="30">W20+AC20+AI20+AO20+AU20+BA20+BG20+BM20+BU20+CC20</f>
        <v>50</v>
      </c>
      <c r="R20" s="253">
        <f t="shared" ref="R20:R26" si="31">SUM(S20:W20)</f>
        <v>51</v>
      </c>
      <c r="S20" s="139">
        <v>22</v>
      </c>
      <c r="T20" s="139">
        <v>12</v>
      </c>
      <c r="U20" s="139"/>
      <c r="V20" s="139"/>
      <c r="W20" s="139">
        <v>17</v>
      </c>
      <c r="X20" s="253">
        <f t="shared" ref="X20:X26" si="32">SUM(Y20:AC20)</f>
        <v>99</v>
      </c>
      <c r="Y20" s="139">
        <v>38</v>
      </c>
      <c r="Z20" s="139">
        <v>28</v>
      </c>
      <c r="AA20" s="139"/>
      <c r="AB20" s="139"/>
      <c r="AC20" s="139">
        <v>33</v>
      </c>
      <c r="AD20" s="253">
        <f>SUM(AE20:AI20)</f>
        <v>0</v>
      </c>
      <c r="AE20" s="139"/>
      <c r="AF20" s="139"/>
      <c r="AG20" s="139"/>
      <c r="AH20" s="139"/>
      <c r="AI20" s="139"/>
      <c r="AJ20" s="253">
        <f>SUM(AK20:AO20)</f>
        <v>0</v>
      </c>
      <c r="AK20" s="139"/>
      <c r="AL20" s="139"/>
      <c r="AM20" s="139"/>
      <c r="AN20" s="139"/>
      <c r="AO20" s="139"/>
      <c r="AP20" s="253">
        <f>SUM(AQ20:AU20)</f>
        <v>0</v>
      </c>
      <c r="AQ20" s="139"/>
      <c r="AR20" s="139"/>
      <c r="AS20" s="139"/>
      <c r="AT20" s="139"/>
      <c r="AU20" s="139"/>
      <c r="AV20" s="253">
        <f>SUM(AW20:BA20)</f>
        <v>0</v>
      </c>
      <c r="AW20" s="139"/>
      <c r="AX20" s="139"/>
      <c r="AY20" s="139"/>
      <c r="AZ20" s="139"/>
      <c r="BA20" s="139"/>
      <c r="BB20" s="253">
        <f>SUM(BC20:BG20)</f>
        <v>0</v>
      </c>
      <c r="BC20" s="139"/>
      <c r="BD20" s="139"/>
      <c r="BE20" s="139"/>
      <c r="BF20" s="139"/>
      <c r="BG20" s="139"/>
      <c r="BH20" s="253">
        <f>SUM(BI20:BM20)</f>
        <v>0</v>
      </c>
      <c r="BI20" s="139"/>
      <c r="BJ20" s="139"/>
      <c r="BK20" s="139"/>
      <c r="BL20" s="139"/>
      <c r="BM20" s="139"/>
      <c r="BN20" s="253">
        <f>SUM(BO20:BU20)</f>
        <v>0</v>
      </c>
      <c r="BO20" s="139"/>
      <c r="BP20" s="139"/>
      <c r="BQ20" s="139"/>
      <c r="BR20" s="139"/>
      <c r="BS20" s="139"/>
      <c r="BT20" s="139"/>
      <c r="BU20" s="139"/>
      <c r="BV20" s="253">
        <f>SUM(BW20:CC20)</f>
        <v>0</v>
      </c>
      <c r="BW20" s="139"/>
      <c r="BX20" s="139"/>
      <c r="BY20" s="139"/>
      <c r="BZ20" s="139"/>
      <c r="CA20" s="139"/>
      <c r="CB20" s="139"/>
      <c r="CC20" s="139"/>
      <c r="CD20" s="135" t="s">
        <v>510</v>
      </c>
      <c r="CE20" s="556"/>
    </row>
    <row r="21" spans="1:83" s="142" customFormat="1" ht="18.75" customHeight="1" x14ac:dyDescent="0.2">
      <c r="A21" s="135" t="s">
        <v>595</v>
      </c>
      <c r="B21" s="143" t="s">
        <v>177</v>
      </c>
      <c r="C21" s="134"/>
      <c r="D21" s="135" t="s">
        <v>31</v>
      </c>
      <c r="E21" s="135"/>
      <c r="F21" s="135"/>
      <c r="G21" s="135"/>
      <c r="H21" s="135"/>
      <c r="I21" s="139"/>
      <c r="J21" s="139">
        <v>121</v>
      </c>
      <c r="K21" s="138">
        <f t="shared" si="27"/>
        <v>201</v>
      </c>
      <c r="L21" s="138">
        <f t="shared" si="28"/>
        <v>134</v>
      </c>
      <c r="M21" s="138">
        <f t="shared" si="29"/>
        <v>96</v>
      </c>
      <c r="N21" s="138">
        <f t="shared" si="29"/>
        <v>38</v>
      </c>
      <c r="O21" s="138">
        <f t="shared" si="29"/>
        <v>0</v>
      </c>
      <c r="P21" s="138">
        <f t="shared" si="29"/>
        <v>0</v>
      </c>
      <c r="Q21" s="138">
        <f t="shared" si="30"/>
        <v>67</v>
      </c>
      <c r="R21" s="253">
        <f t="shared" si="31"/>
        <v>102</v>
      </c>
      <c r="S21" s="139">
        <v>52</v>
      </c>
      <c r="T21" s="139">
        <v>16</v>
      </c>
      <c r="U21" s="139"/>
      <c r="V21" s="139"/>
      <c r="W21" s="139">
        <v>34</v>
      </c>
      <c r="X21" s="253">
        <f t="shared" si="32"/>
        <v>99</v>
      </c>
      <c r="Y21" s="139">
        <v>44</v>
      </c>
      <c r="Z21" s="139">
        <v>22</v>
      </c>
      <c r="AA21" s="139"/>
      <c r="AB21" s="139"/>
      <c r="AC21" s="139">
        <v>33</v>
      </c>
      <c r="AD21" s="253">
        <f>SUM(AE21:AI21)</f>
        <v>0</v>
      </c>
      <c r="AE21" s="139"/>
      <c r="AF21" s="139"/>
      <c r="AG21" s="139"/>
      <c r="AH21" s="139"/>
      <c r="AI21" s="139"/>
      <c r="AJ21" s="253">
        <f>SUM(AK21:AO21)</f>
        <v>0</v>
      </c>
      <c r="AK21" s="139"/>
      <c r="AL21" s="139"/>
      <c r="AM21" s="139"/>
      <c r="AN21" s="139"/>
      <c r="AO21" s="139"/>
      <c r="AP21" s="253">
        <f>SUM(AQ21:AU21)</f>
        <v>0</v>
      </c>
      <c r="AQ21" s="139"/>
      <c r="AR21" s="139"/>
      <c r="AS21" s="139"/>
      <c r="AT21" s="139"/>
      <c r="AU21" s="139"/>
      <c r="AV21" s="253">
        <f>SUM(AW21:BA21)</f>
        <v>0</v>
      </c>
      <c r="AW21" s="139"/>
      <c r="AX21" s="139"/>
      <c r="AY21" s="139"/>
      <c r="AZ21" s="139"/>
      <c r="BA21" s="139"/>
      <c r="BB21" s="253">
        <f>SUM(BC21:BG21)</f>
        <v>0</v>
      </c>
      <c r="BC21" s="139"/>
      <c r="BD21" s="139"/>
      <c r="BE21" s="139"/>
      <c r="BF21" s="139"/>
      <c r="BG21" s="139"/>
      <c r="BH21" s="253">
        <f>SUM(BI21:BM21)</f>
        <v>0</v>
      </c>
      <c r="BI21" s="139"/>
      <c r="BJ21" s="139"/>
      <c r="BK21" s="139"/>
      <c r="BL21" s="139"/>
      <c r="BM21" s="139"/>
      <c r="BN21" s="253">
        <f>SUM(BO21:BU21)</f>
        <v>0</v>
      </c>
      <c r="BO21" s="139"/>
      <c r="BP21" s="139"/>
      <c r="BQ21" s="139"/>
      <c r="BR21" s="139"/>
      <c r="BS21" s="139"/>
      <c r="BT21" s="139"/>
      <c r="BU21" s="139"/>
      <c r="BV21" s="253">
        <f>SUM(BW21:CC21)</f>
        <v>0</v>
      </c>
      <c r="BW21" s="139"/>
      <c r="BX21" s="139"/>
      <c r="BY21" s="139"/>
      <c r="BZ21" s="139"/>
      <c r="CA21" s="139"/>
      <c r="CB21" s="139"/>
      <c r="CC21" s="139"/>
      <c r="CD21" s="135" t="s">
        <v>510</v>
      </c>
      <c r="CE21" s="556"/>
    </row>
    <row r="22" spans="1:83" s="142" customFormat="1" ht="18.75" customHeight="1" x14ac:dyDescent="0.2">
      <c r="A22" s="135" t="s">
        <v>596</v>
      </c>
      <c r="B22" s="143" t="s">
        <v>175</v>
      </c>
      <c r="C22" s="134"/>
      <c r="D22" s="135"/>
      <c r="E22" s="135" t="s">
        <v>31</v>
      </c>
      <c r="F22" s="135"/>
      <c r="G22" s="135"/>
      <c r="H22" s="135"/>
      <c r="I22" s="139"/>
      <c r="J22" s="139">
        <f t="shared" ref="J22" si="33">L22</f>
        <v>78</v>
      </c>
      <c r="K22" s="138">
        <f t="shared" si="27"/>
        <v>117</v>
      </c>
      <c r="L22" s="138">
        <f t="shared" si="28"/>
        <v>78</v>
      </c>
      <c r="M22" s="138">
        <f t="shared" si="29"/>
        <v>58</v>
      </c>
      <c r="N22" s="138">
        <f t="shared" si="29"/>
        <v>20</v>
      </c>
      <c r="O22" s="138">
        <f t="shared" si="29"/>
        <v>0</v>
      </c>
      <c r="P22" s="138">
        <f t="shared" si="29"/>
        <v>0</v>
      </c>
      <c r="Q22" s="138">
        <f t="shared" si="30"/>
        <v>39</v>
      </c>
      <c r="R22" s="253">
        <f t="shared" si="31"/>
        <v>51</v>
      </c>
      <c r="S22" s="139">
        <v>26</v>
      </c>
      <c r="T22" s="139">
        <v>8</v>
      </c>
      <c r="U22" s="139"/>
      <c r="V22" s="139"/>
      <c r="W22" s="139">
        <v>17</v>
      </c>
      <c r="X22" s="253">
        <f t="shared" si="32"/>
        <v>66</v>
      </c>
      <c r="Y22" s="139">
        <v>32</v>
      </c>
      <c r="Z22" s="139">
        <v>12</v>
      </c>
      <c r="AA22" s="139"/>
      <c r="AB22" s="139"/>
      <c r="AC22" s="139">
        <v>22</v>
      </c>
      <c r="AD22" s="253">
        <f>SUM(AE22:AI22)</f>
        <v>0</v>
      </c>
      <c r="AE22" s="139"/>
      <c r="AF22" s="139"/>
      <c r="AG22" s="139"/>
      <c r="AH22" s="139"/>
      <c r="AI22" s="139"/>
      <c r="AJ22" s="253">
        <f>SUM(AK22:AO22)</f>
        <v>0</v>
      </c>
      <c r="AK22" s="139"/>
      <c r="AL22" s="139"/>
      <c r="AM22" s="139"/>
      <c r="AN22" s="139"/>
      <c r="AO22" s="139"/>
      <c r="AP22" s="253">
        <f>SUM(AQ22:AU22)</f>
        <v>0</v>
      </c>
      <c r="AQ22" s="139"/>
      <c r="AR22" s="139"/>
      <c r="AS22" s="139"/>
      <c r="AT22" s="139"/>
      <c r="AU22" s="139"/>
      <c r="AV22" s="253">
        <f>SUM(AW22:BA22)</f>
        <v>0</v>
      </c>
      <c r="AW22" s="139"/>
      <c r="AX22" s="139"/>
      <c r="AY22" s="139"/>
      <c r="AZ22" s="139"/>
      <c r="BA22" s="139"/>
      <c r="BB22" s="253">
        <f>SUM(BC22:BG22)</f>
        <v>0</v>
      </c>
      <c r="BC22" s="139"/>
      <c r="BD22" s="139"/>
      <c r="BE22" s="139"/>
      <c r="BF22" s="139"/>
      <c r="BG22" s="139"/>
      <c r="BH22" s="253">
        <f>SUM(BI22:BM22)</f>
        <v>0</v>
      </c>
      <c r="BI22" s="139"/>
      <c r="BJ22" s="139"/>
      <c r="BK22" s="139"/>
      <c r="BL22" s="139"/>
      <c r="BM22" s="139"/>
      <c r="BN22" s="253">
        <f t="shared" ref="BN22:BN24" si="34">SUM(BO22:BU22)</f>
        <v>0</v>
      </c>
      <c r="BO22" s="139"/>
      <c r="BP22" s="139"/>
      <c r="BQ22" s="139"/>
      <c r="BR22" s="139"/>
      <c r="BS22" s="139"/>
      <c r="BT22" s="139"/>
      <c r="BU22" s="139"/>
      <c r="BV22" s="253">
        <f t="shared" ref="BV22:BV24" si="35">SUM(BW22:CC22)</f>
        <v>0</v>
      </c>
      <c r="BW22" s="139"/>
      <c r="BX22" s="139"/>
      <c r="BY22" s="139"/>
      <c r="BZ22" s="139"/>
      <c r="CA22" s="139"/>
      <c r="CB22" s="139"/>
      <c r="CC22" s="139"/>
      <c r="CD22" s="135" t="s">
        <v>510</v>
      </c>
      <c r="CE22" s="556"/>
    </row>
    <row r="23" spans="1:83" s="142" customFormat="1" ht="32.25" customHeight="1" x14ac:dyDescent="0.2">
      <c r="A23" s="135" t="s">
        <v>597</v>
      </c>
      <c r="B23" s="143" t="s">
        <v>174</v>
      </c>
      <c r="C23" s="134"/>
      <c r="D23" s="135"/>
      <c r="E23" s="135" t="s">
        <v>31</v>
      </c>
      <c r="F23" s="135"/>
      <c r="G23" s="135"/>
      <c r="H23" s="135"/>
      <c r="I23" s="139"/>
      <c r="J23" s="139">
        <v>108</v>
      </c>
      <c r="K23" s="138">
        <f t="shared" si="27"/>
        <v>162</v>
      </c>
      <c r="L23" s="138">
        <f t="shared" si="28"/>
        <v>108</v>
      </c>
      <c r="M23" s="138">
        <f t="shared" si="29"/>
        <v>108</v>
      </c>
      <c r="N23" s="138">
        <f t="shared" si="29"/>
        <v>0</v>
      </c>
      <c r="O23" s="138">
        <f t="shared" si="29"/>
        <v>0</v>
      </c>
      <c r="P23" s="138">
        <f t="shared" si="29"/>
        <v>0</v>
      </c>
      <c r="Q23" s="138">
        <f t="shared" si="30"/>
        <v>54</v>
      </c>
      <c r="R23" s="253">
        <f t="shared" si="31"/>
        <v>77</v>
      </c>
      <c r="S23" s="139">
        <v>51</v>
      </c>
      <c r="T23" s="139"/>
      <c r="U23" s="139"/>
      <c r="V23" s="139"/>
      <c r="W23" s="139">
        <v>26</v>
      </c>
      <c r="X23" s="253">
        <f t="shared" si="32"/>
        <v>85</v>
      </c>
      <c r="Y23" s="139">
        <v>57</v>
      </c>
      <c r="Z23" s="139"/>
      <c r="AA23" s="139"/>
      <c r="AB23" s="139"/>
      <c r="AC23" s="139">
        <v>28</v>
      </c>
      <c r="AD23" s="253">
        <f>SUM(AE23:AI23)</f>
        <v>0</v>
      </c>
      <c r="AE23" s="139"/>
      <c r="AF23" s="139"/>
      <c r="AG23" s="139"/>
      <c r="AH23" s="139"/>
      <c r="AI23" s="139"/>
      <c r="AJ23" s="253">
        <f>SUM(AK23:AO23)</f>
        <v>0</v>
      </c>
      <c r="AK23" s="139"/>
      <c r="AL23" s="139"/>
      <c r="AM23" s="139"/>
      <c r="AN23" s="139"/>
      <c r="AO23" s="139"/>
      <c r="AP23" s="253">
        <f>SUM(AQ23:AU23)</f>
        <v>0</v>
      </c>
      <c r="AQ23" s="139"/>
      <c r="AR23" s="139"/>
      <c r="AS23" s="139"/>
      <c r="AT23" s="139"/>
      <c r="AU23" s="139"/>
      <c r="AV23" s="253">
        <f>SUM(AW23:BA23)</f>
        <v>0</v>
      </c>
      <c r="AW23" s="139"/>
      <c r="AX23" s="139"/>
      <c r="AY23" s="139"/>
      <c r="AZ23" s="139"/>
      <c r="BA23" s="139"/>
      <c r="BB23" s="253">
        <f>SUM(BC23:BG23)</f>
        <v>0</v>
      </c>
      <c r="BC23" s="139"/>
      <c r="BD23" s="139"/>
      <c r="BE23" s="139"/>
      <c r="BF23" s="139"/>
      <c r="BG23" s="139"/>
      <c r="BH23" s="253">
        <f>SUM(BI23:BM23)</f>
        <v>0</v>
      </c>
      <c r="BI23" s="139"/>
      <c r="BJ23" s="139"/>
      <c r="BK23" s="139"/>
      <c r="BL23" s="139"/>
      <c r="BM23" s="139"/>
      <c r="BN23" s="253">
        <f t="shared" si="34"/>
        <v>0</v>
      </c>
      <c r="BO23" s="139"/>
      <c r="BP23" s="139"/>
      <c r="BQ23" s="139"/>
      <c r="BR23" s="139"/>
      <c r="BS23" s="139"/>
      <c r="BT23" s="139"/>
      <c r="BU23" s="139"/>
      <c r="BV23" s="253">
        <f t="shared" si="35"/>
        <v>0</v>
      </c>
      <c r="BW23" s="139"/>
      <c r="BX23" s="139"/>
      <c r="BY23" s="139"/>
      <c r="BZ23" s="139"/>
      <c r="CA23" s="139"/>
      <c r="CB23" s="139"/>
      <c r="CC23" s="139"/>
      <c r="CD23" s="135" t="s">
        <v>509</v>
      </c>
      <c r="CE23" s="556"/>
    </row>
    <row r="24" spans="1:83" s="142" customFormat="1" ht="18.75" customHeight="1" x14ac:dyDescent="0.2">
      <c r="A24" s="135" t="s">
        <v>598</v>
      </c>
      <c r="B24" s="143" t="s">
        <v>176</v>
      </c>
      <c r="C24" s="134"/>
      <c r="D24" s="135"/>
      <c r="E24" s="135" t="s">
        <v>27</v>
      </c>
      <c r="F24" s="135"/>
      <c r="G24" s="135"/>
      <c r="H24" s="135"/>
      <c r="I24" s="139"/>
      <c r="J24" s="139">
        <v>36</v>
      </c>
      <c r="K24" s="138">
        <f t="shared" si="27"/>
        <v>54</v>
      </c>
      <c r="L24" s="138">
        <f t="shared" si="28"/>
        <v>36</v>
      </c>
      <c r="M24" s="138">
        <f t="shared" si="29"/>
        <v>36</v>
      </c>
      <c r="N24" s="138">
        <f t="shared" si="29"/>
        <v>0</v>
      </c>
      <c r="O24" s="138">
        <f t="shared" si="29"/>
        <v>0</v>
      </c>
      <c r="P24" s="138">
        <f t="shared" si="29"/>
        <v>0</v>
      </c>
      <c r="Q24" s="138">
        <f t="shared" si="30"/>
        <v>18</v>
      </c>
      <c r="R24" s="253">
        <f t="shared" si="31"/>
        <v>54</v>
      </c>
      <c r="S24" s="139">
        <v>36</v>
      </c>
      <c r="T24" s="139"/>
      <c r="U24" s="139"/>
      <c r="V24" s="139"/>
      <c r="W24" s="139">
        <v>18</v>
      </c>
      <c r="X24" s="253">
        <f t="shared" si="32"/>
        <v>0</v>
      </c>
      <c r="Y24" s="139"/>
      <c r="Z24" s="139"/>
      <c r="AA24" s="139"/>
      <c r="AB24" s="139"/>
      <c r="AC24" s="139"/>
      <c r="AD24" s="253">
        <f>SUM(AE24:AI24)</f>
        <v>0</v>
      </c>
      <c r="AE24" s="139"/>
      <c r="AF24" s="139"/>
      <c r="AG24" s="139"/>
      <c r="AH24" s="139"/>
      <c r="AI24" s="139"/>
      <c r="AJ24" s="253">
        <f>SUM(AK24:AO24)</f>
        <v>0</v>
      </c>
      <c r="AK24" s="139"/>
      <c r="AL24" s="139"/>
      <c r="AM24" s="139"/>
      <c r="AN24" s="139"/>
      <c r="AO24" s="139"/>
      <c r="AP24" s="253">
        <f>SUM(AQ24:AU24)</f>
        <v>0</v>
      </c>
      <c r="AQ24" s="139"/>
      <c r="AR24" s="139"/>
      <c r="AS24" s="139"/>
      <c r="AT24" s="139"/>
      <c r="AU24" s="139"/>
      <c r="AV24" s="253">
        <f>SUM(AW24:BA24)</f>
        <v>0</v>
      </c>
      <c r="AW24" s="139"/>
      <c r="AX24" s="139"/>
      <c r="AY24" s="139"/>
      <c r="AZ24" s="139"/>
      <c r="BA24" s="139"/>
      <c r="BB24" s="253">
        <f>SUM(BC24:BG24)</f>
        <v>0</v>
      </c>
      <c r="BC24" s="139"/>
      <c r="BD24" s="139"/>
      <c r="BE24" s="139"/>
      <c r="BF24" s="139"/>
      <c r="BG24" s="139"/>
      <c r="BH24" s="253">
        <f>SUM(BI24:BM24)</f>
        <v>0</v>
      </c>
      <c r="BI24" s="139"/>
      <c r="BJ24" s="139"/>
      <c r="BK24" s="139"/>
      <c r="BL24" s="139"/>
      <c r="BM24" s="139"/>
      <c r="BN24" s="253">
        <f t="shared" si="34"/>
        <v>0</v>
      </c>
      <c r="BO24" s="139"/>
      <c r="BP24" s="139"/>
      <c r="BQ24" s="139"/>
      <c r="BR24" s="139"/>
      <c r="BS24" s="139"/>
      <c r="BT24" s="139"/>
      <c r="BU24" s="139"/>
      <c r="BV24" s="253">
        <f t="shared" si="35"/>
        <v>0</v>
      </c>
      <c r="BW24" s="139"/>
      <c r="BX24" s="139"/>
      <c r="BY24" s="139"/>
      <c r="BZ24" s="139"/>
      <c r="CA24" s="139"/>
      <c r="CB24" s="139"/>
      <c r="CC24" s="139"/>
      <c r="CD24" s="135" t="s">
        <v>510</v>
      </c>
      <c r="CE24" s="556"/>
    </row>
    <row r="25" spans="1:83" s="142" customFormat="1" ht="18.75" customHeight="1" x14ac:dyDescent="0.2">
      <c r="A25" s="135" t="s">
        <v>599</v>
      </c>
      <c r="B25" s="143" t="s">
        <v>366</v>
      </c>
      <c r="C25" s="134"/>
      <c r="D25" s="135"/>
      <c r="E25" s="135" t="s">
        <v>31</v>
      </c>
      <c r="F25" s="135"/>
      <c r="G25" s="135"/>
      <c r="H25" s="135"/>
      <c r="I25" s="139"/>
      <c r="J25" s="139">
        <f t="shared" ref="J25:J26" si="36">L25</f>
        <v>36</v>
      </c>
      <c r="K25" s="138">
        <f t="shared" si="27"/>
        <v>54</v>
      </c>
      <c r="L25" s="138">
        <f t="shared" si="28"/>
        <v>36</v>
      </c>
      <c r="M25" s="138">
        <f t="shared" si="29"/>
        <v>36</v>
      </c>
      <c r="N25" s="138">
        <f t="shared" si="29"/>
        <v>0</v>
      </c>
      <c r="O25" s="138">
        <f t="shared" si="29"/>
        <v>0</v>
      </c>
      <c r="P25" s="138">
        <f t="shared" si="29"/>
        <v>0</v>
      </c>
      <c r="Q25" s="138">
        <f t="shared" si="30"/>
        <v>18</v>
      </c>
      <c r="R25" s="253">
        <f t="shared" si="31"/>
        <v>0</v>
      </c>
      <c r="S25" s="139"/>
      <c r="T25" s="139"/>
      <c r="U25" s="139"/>
      <c r="V25" s="139"/>
      <c r="W25" s="139"/>
      <c r="X25" s="253">
        <f t="shared" si="32"/>
        <v>54</v>
      </c>
      <c r="Y25" s="139">
        <v>36</v>
      </c>
      <c r="Z25" s="139"/>
      <c r="AA25" s="139"/>
      <c r="AB25" s="139"/>
      <c r="AC25" s="139">
        <v>18</v>
      </c>
      <c r="AD25" s="253"/>
      <c r="AE25" s="139"/>
      <c r="AF25" s="139"/>
      <c r="AG25" s="139"/>
      <c r="AH25" s="139"/>
      <c r="AI25" s="139"/>
      <c r="AJ25" s="253"/>
      <c r="AK25" s="139"/>
      <c r="AL25" s="139"/>
      <c r="AM25" s="139"/>
      <c r="AN25" s="139"/>
      <c r="AO25" s="139"/>
      <c r="AP25" s="253"/>
      <c r="AQ25" s="139"/>
      <c r="AR25" s="139"/>
      <c r="AS25" s="139"/>
      <c r="AT25" s="139"/>
      <c r="AU25" s="139"/>
      <c r="AV25" s="253"/>
      <c r="AW25" s="139"/>
      <c r="AX25" s="139"/>
      <c r="AY25" s="139"/>
      <c r="AZ25" s="139"/>
      <c r="BA25" s="139"/>
      <c r="BB25" s="253"/>
      <c r="BC25" s="139"/>
      <c r="BD25" s="139"/>
      <c r="BE25" s="139"/>
      <c r="BF25" s="139"/>
      <c r="BG25" s="139"/>
      <c r="BH25" s="253"/>
      <c r="BI25" s="139"/>
      <c r="BJ25" s="139"/>
      <c r="BK25" s="139"/>
      <c r="BL25" s="139"/>
      <c r="BM25" s="139"/>
      <c r="BN25" s="253"/>
      <c r="BO25" s="139"/>
      <c r="BP25" s="139"/>
      <c r="BQ25" s="139"/>
      <c r="BR25" s="139"/>
      <c r="BS25" s="139"/>
      <c r="BT25" s="139"/>
      <c r="BU25" s="139"/>
      <c r="BV25" s="253"/>
      <c r="BW25" s="139"/>
      <c r="BX25" s="139"/>
      <c r="BY25" s="139"/>
      <c r="BZ25" s="139"/>
      <c r="CA25" s="139"/>
      <c r="CB25" s="139"/>
      <c r="CC25" s="139"/>
      <c r="CD25" s="135" t="s">
        <v>510</v>
      </c>
      <c r="CE25" s="556"/>
    </row>
    <row r="26" spans="1:83" s="142" customFormat="1" ht="18.75" customHeight="1" x14ac:dyDescent="0.2">
      <c r="A26" s="135" t="s">
        <v>600</v>
      </c>
      <c r="B26" s="143" t="s">
        <v>367</v>
      </c>
      <c r="C26" s="134"/>
      <c r="D26" s="135"/>
      <c r="E26" s="135" t="s">
        <v>27</v>
      </c>
      <c r="F26" s="135"/>
      <c r="G26" s="135"/>
      <c r="H26" s="135"/>
      <c r="I26" s="139"/>
      <c r="J26" s="139">
        <f t="shared" si="36"/>
        <v>36</v>
      </c>
      <c r="K26" s="138">
        <f t="shared" si="27"/>
        <v>54</v>
      </c>
      <c r="L26" s="138">
        <f t="shared" si="28"/>
        <v>36</v>
      </c>
      <c r="M26" s="138">
        <f t="shared" si="29"/>
        <v>36</v>
      </c>
      <c r="N26" s="138">
        <f t="shared" si="29"/>
        <v>0</v>
      </c>
      <c r="O26" s="138">
        <f t="shared" si="29"/>
        <v>0</v>
      </c>
      <c r="P26" s="138">
        <f t="shared" si="29"/>
        <v>0</v>
      </c>
      <c r="Q26" s="138">
        <f t="shared" si="30"/>
        <v>18</v>
      </c>
      <c r="R26" s="253">
        <f t="shared" si="31"/>
        <v>54</v>
      </c>
      <c r="S26" s="139">
        <v>36</v>
      </c>
      <c r="T26" s="139"/>
      <c r="U26" s="139"/>
      <c r="V26" s="139"/>
      <c r="W26" s="139">
        <v>18</v>
      </c>
      <c r="X26" s="253">
        <f t="shared" si="32"/>
        <v>0</v>
      </c>
      <c r="Y26" s="139"/>
      <c r="Z26" s="139"/>
      <c r="AA26" s="139"/>
      <c r="AB26" s="139"/>
      <c r="AC26" s="139"/>
      <c r="AD26" s="253"/>
      <c r="AE26" s="139"/>
      <c r="AF26" s="139"/>
      <c r="AG26" s="139"/>
      <c r="AH26" s="139"/>
      <c r="AI26" s="139"/>
      <c r="AJ26" s="253"/>
      <c r="AK26" s="139"/>
      <c r="AL26" s="139"/>
      <c r="AM26" s="139"/>
      <c r="AN26" s="139"/>
      <c r="AO26" s="139"/>
      <c r="AP26" s="253"/>
      <c r="AQ26" s="139"/>
      <c r="AR26" s="139"/>
      <c r="AS26" s="139"/>
      <c r="AT26" s="139"/>
      <c r="AU26" s="139"/>
      <c r="AV26" s="253"/>
      <c r="AW26" s="139"/>
      <c r="AX26" s="139"/>
      <c r="AY26" s="139"/>
      <c r="AZ26" s="139"/>
      <c r="BA26" s="139"/>
      <c r="BB26" s="253"/>
      <c r="BC26" s="139"/>
      <c r="BD26" s="139"/>
      <c r="BE26" s="139"/>
      <c r="BF26" s="139"/>
      <c r="BG26" s="139"/>
      <c r="BH26" s="253"/>
      <c r="BI26" s="139"/>
      <c r="BJ26" s="139"/>
      <c r="BK26" s="139"/>
      <c r="BL26" s="139"/>
      <c r="BM26" s="139"/>
      <c r="BN26" s="253"/>
      <c r="BO26" s="139"/>
      <c r="BP26" s="139"/>
      <c r="BQ26" s="139"/>
      <c r="BR26" s="139"/>
      <c r="BS26" s="139"/>
      <c r="BT26" s="139"/>
      <c r="BU26" s="139"/>
      <c r="BV26" s="253"/>
      <c r="BW26" s="139"/>
      <c r="BX26" s="139"/>
      <c r="BY26" s="139"/>
      <c r="BZ26" s="139"/>
      <c r="CA26" s="139"/>
      <c r="CB26" s="139"/>
      <c r="CC26" s="139"/>
      <c r="CD26" s="135" t="s">
        <v>510</v>
      </c>
      <c r="CE26" s="556"/>
    </row>
    <row r="27" spans="1:83" s="121" customFormat="1" ht="25.5" customHeight="1" x14ac:dyDescent="0.2">
      <c r="A27" s="549"/>
      <c r="B27" s="708" t="s">
        <v>408</v>
      </c>
      <c r="C27" s="709"/>
      <c r="D27" s="709"/>
      <c r="E27" s="709"/>
      <c r="F27" s="709"/>
      <c r="G27" s="709"/>
      <c r="H27" s="710"/>
      <c r="I27" s="550">
        <v>2970</v>
      </c>
      <c r="J27" s="550">
        <v>1980</v>
      </c>
      <c r="K27" s="550">
        <f t="shared" ref="K27:BF27" si="37">K28+K33+K37</f>
        <v>3858</v>
      </c>
      <c r="L27" s="550">
        <f t="shared" si="37"/>
        <v>2575</v>
      </c>
      <c r="M27" s="550">
        <f t="shared" si="37"/>
        <v>1879</v>
      </c>
      <c r="N27" s="550">
        <f t="shared" si="37"/>
        <v>636</v>
      </c>
      <c r="O27" s="550">
        <f t="shared" si="37"/>
        <v>60</v>
      </c>
      <c r="P27" s="550">
        <f t="shared" si="37"/>
        <v>0</v>
      </c>
      <c r="Q27" s="550">
        <f t="shared" si="37"/>
        <v>1283</v>
      </c>
      <c r="R27" s="550">
        <f t="shared" si="37"/>
        <v>0</v>
      </c>
      <c r="S27" s="550">
        <f t="shared" si="37"/>
        <v>0</v>
      </c>
      <c r="T27" s="550">
        <f t="shared" si="37"/>
        <v>0</v>
      </c>
      <c r="U27" s="550">
        <f t="shared" si="37"/>
        <v>0</v>
      </c>
      <c r="V27" s="550">
        <f t="shared" si="37"/>
        <v>0</v>
      </c>
      <c r="W27" s="550">
        <f t="shared" si="37"/>
        <v>0</v>
      </c>
      <c r="X27" s="550">
        <f t="shared" si="37"/>
        <v>0</v>
      </c>
      <c r="Y27" s="550">
        <f t="shared" si="37"/>
        <v>0</v>
      </c>
      <c r="Z27" s="550">
        <f t="shared" si="37"/>
        <v>0</v>
      </c>
      <c r="AA27" s="550">
        <f t="shared" si="37"/>
        <v>0</v>
      </c>
      <c r="AB27" s="550">
        <f t="shared" si="37"/>
        <v>0</v>
      </c>
      <c r="AC27" s="550">
        <f t="shared" si="37"/>
        <v>0</v>
      </c>
      <c r="AD27" s="550">
        <f t="shared" si="37"/>
        <v>764</v>
      </c>
      <c r="AE27" s="550">
        <f t="shared" si="37"/>
        <v>414</v>
      </c>
      <c r="AF27" s="550">
        <f t="shared" si="37"/>
        <v>98</v>
      </c>
      <c r="AG27" s="550">
        <f t="shared" si="37"/>
        <v>0</v>
      </c>
      <c r="AH27" s="550">
        <f t="shared" si="37"/>
        <v>0</v>
      </c>
      <c r="AI27" s="550">
        <f t="shared" si="37"/>
        <v>252</v>
      </c>
      <c r="AJ27" s="550">
        <f t="shared" si="37"/>
        <v>940</v>
      </c>
      <c r="AK27" s="550">
        <f t="shared" si="37"/>
        <v>535</v>
      </c>
      <c r="AL27" s="550">
        <f t="shared" si="37"/>
        <v>92</v>
      </c>
      <c r="AM27" s="550">
        <f t="shared" si="37"/>
        <v>0</v>
      </c>
      <c r="AN27" s="550">
        <f t="shared" si="37"/>
        <v>0</v>
      </c>
      <c r="AO27" s="550">
        <f t="shared" si="37"/>
        <v>313</v>
      </c>
      <c r="AP27" s="550">
        <f t="shared" si="37"/>
        <v>594</v>
      </c>
      <c r="AQ27" s="550">
        <f t="shared" si="37"/>
        <v>322</v>
      </c>
      <c r="AR27" s="550">
        <f t="shared" si="37"/>
        <v>74</v>
      </c>
      <c r="AS27" s="550">
        <f t="shared" si="37"/>
        <v>0</v>
      </c>
      <c r="AT27" s="550">
        <f t="shared" si="37"/>
        <v>0</v>
      </c>
      <c r="AU27" s="550">
        <f t="shared" si="37"/>
        <v>198</v>
      </c>
      <c r="AV27" s="550">
        <f t="shared" si="37"/>
        <v>432</v>
      </c>
      <c r="AW27" s="550">
        <f t="shared" si="37"/>
        <v>194</v>
      </c>
      <c r="AX27" s="550">
        <f t="shared" si="37"/>
        <v>64</v>
      </c>
      <c r="AY27" s="550">
        <f t="shared" si="37"/>
        <v>30</v>
      </c>
      <c r="AZ27" s="550">
        <f t="shared" si="37"/>
        <v>0</v>
      </c>
      <c r="BA27" s="550">
        <f t="shared" si="37"/>
        <v>144</v>
      </c>
      <c r="BB27" s="550">
        <f t="shared" si="37"/>
        <v>216</v>
      </c>
      <c r="BC27" s="550">
        <f t="shared" si="37"/>
        <v>88</v>
      </c>
      <c r="BD27" s="550">
        <f t="shared" si="37"/>
        <v>56</v>
      </c>
      <c r="BE27" s="550">
        <f t="shared" si="37"/>
        <v>0</v>
      </c>
      <c r="BF27" s="550">
        <f t="shared" si="37"/>
        <v>0</v>
      </c>
      <c r="BG27" s="550">
        <f t="shared" ref="BG27:BZ27" si="38">BG28+BG33+BG37</f>
        <v>72</v>
      </c>
      <c r="BH27" s="550">
        <f t="shared" si="38"/>
        <v>912</v>
      </c>
      <c r="BI27" s="550">
        <f t="shared" si="38"/>
        <v>326</v>
      </c>
      <c r="BJ27" s="550">
        <f t="shared" si="38"/>
        <v>252</v>
      </c>
      <c r="BK27" s="550">
        <f t="shared" si="38"/>
        <v>30</v>
      </c>
      <c r="BL27" s="550">
        <f t="shared" si="38"/>
        <v>0</v>
      </c>
      <c r="BM27" s="550">
        <f t="shared" si="38"/>
        <v>304</v>
      </c>
      <c r="BN27" s="550">
        <f t="shared" si="38"/>
        <v>0</v>
      </c>
      <c r="BO27" s="550">
        <f t="shared" si="38"/>
        <v>0</v>
      </c>
      <c r="BP27" s="550">
        <f t="shared" si="38"/>
        <v>0</v>
      </c>
      <c r="BQ27" s="550">
        <f t="shared" si="38"/>
        <v>0</v>
      </c>
      <c r="BR27" s="550">
        <f t="shared" si="38"/>
        <v>0</v>
      </c>
      <c r="BS27" s="550">
        <f t="shared" si="38"/>
        <v>0</v>
      </c>
      <c r="BT27" s="550">
        <f t="shared" si="38"/>
        <v>0</v>
      </c>
      <c r="BU27" s="550">
        <f t="shared" si="38"/>
        <v>0</v>
      </c>
      <c r="BV27" s="550">
        <f t="shared" si="38"/>
        <v>0</v>
      </c>
      <c r="BW27" s="550">
        <f t="shared" si="38"/>
        <v>0</v>
      </c>
      <c r="BX27" s="550">
        <f t="shared" si="38"/>
        <v>0</v>
      </c>
      <c r="BY27" s="550">
        <f t="shared" si="38"/>
        <v>0</v>
      </c>
      <c r="BZ27" s="550">
        <f t="shared" si="38"/>
        <v>0</v>
      </c>
      <c r="CA27" s="550">
        <f>CA28+CA33+CA37</f>
        <v>0</v>
      </c>
      <c r="CB27" s="550">
        <f>CB28+CB33+CB37</f>
        <v>0</v>
      </c>
      <c r="CC27" s="550">
        <f>CC28+CC33+CC37</f>
        <v>0</v>
      </c>
      <c r="CD27" s="299"/>
      <c r="CE27" s="299"/>
    </row>
    <row r="28" spans="1:83" s="121" customFormat="1" ht="33.75" customHeight="1" x14ac:dyDescent="0.2">
      <c r="A28" s="557" t="s">
        <v>161</v>
      </c>
      <c r="B28" s="712" t="s">
        <v>611</v>
      </c>
      <c r="C28" s="712"/>
      <c r="D28" s="712"/>
      <c r="E28" s="712"/>
      <c r="F28" s="712"/>
      <c r="G28" s="712"/>
      <c r="H28" s="712"/>
      <c r="I28" s="552">
        <v>612</v>
      </c>
      <c r="J28" s="552">
        <v>408</v>
      </c>
      <c r="K28" s="552">
        <f t="shared" ref="K28:BG28" si="39">SUM(K29:K32)</f>
        <v>612</v>
      </c>
      <c r="L28" s="552">
        <f t="shared" si="39"/>
        <v>408</v>
      </c>
      <c r="M28" s="552">
        <f t="shared" si="39"/>
        <v>252</v>
      </c>
      <c r="N28" s="552">
        <f t="shared" si="39"/>
        <v>156</v>
      </c>
      <c r="O28" s="552">
        <f t="shared" si="39"/>
        <v>0</v>
      </c>
      <c r="P28" s="552">
        <f t="shared" si="39"/>
        <v>0</v>
      </c>
      <c r="Q28" s="552">
        <f t="shared" si="39"/>
        <v>204</v>
      </c>
      <c r="R28" s="552">
        <f t="shared" si="39"/>
        <v>0</v>
      </c>
      <c r="S28" s="552">
        <f t="shared" si="39"/>
        <v>0</v>
      </c>
      <c r="T28" s="552">
        <f t="shared" si="39"/>
        <v>0</v>
      </c>
      <c r="U28" s="552">
        <f t="shared" si="39"/>
        <v>0</v>
      </c>
      <c r="V28" s="552">
        <f t="shared" si="39"/>
        <v>0</v>
      </c>
      <c r="W28" s="552">
        <f t="shared" si="39"/>
        <v>0</v>
      </c>
      <c r="X28" s="552">
        <f t="shared" si="39"/>
        <v>0</v>
      </c>
      <c r="Y28" s="552">
        <f t="shared" si="39"/>
        <v>0</v>
      </c>
      <c r="Z28" s="552">
        <f t="shared" si="39"/>
        <v>0</v>
      </c>
      <c r="AA28" s="552">
        <f t="shared" si="39"/>
        <v>0</v>
      </c>
      <c r="AB28" s="552">
        <f t="shared" si="39"/>
        <v>0</v>
      </c>
      <c r="AC28" s="552">
        <f t="shared" si="39"/>
        <v>0</v>
      </c>
      <c r="AD28" s="552">
        <f t="shared" si="39"/>
        <v>230</v>
      </c>
      <c r="AE28" s="552">
        <f t="shared" si="39"/>
        <v>128</v>
      </c>
      <c r="AF28" s="552">
        <f t="shared" si="39"/>
        <v>32</v>
      </c>
      <c r="AG28" s="552">
        <f t="shared" si="39"/>
        <v>0</v>
      </c>
      <c r="AH28" s="552">
        <f t="shared" si="39"/>
        <v>0</v>
      </c>
      <c r="AI28" s="552">
        <f t="shared" si="39"/>
        <v>70</v>
      </c>
      <c r="AJ28" s="552">
        <f t="shared" si="39"/>
        <v>116</v>
      </c>
      <c r="AK28" s="552">
        <f t="shared" si="39"/>
        <v>38</v>
      </c>
      <c r="AL28" s="552">
        <f t="shared" si="39"/>
        <v>38</v>
      </c>
      <c r="AM28" s="552">
        <f t="shared" si="39"/>
        <v>0</v>
      </c>
      <c r="AN28" s="552">
        <f t="shared" si="39"/>
        <v>0</v>
      </c>
      <c r="AO28" s="552">
        <f t="shared" si="39"/>
        <v>40</v>
      </c>
      <c r="AP28" s="552">
        <f t="shared" si="39"/>
        <v>74</v>
      </c>
      <c r="AQ28" s="552">
        <f t="shared" si="39"/>
        <v>24</v>
      </c>
      <c r="AR28" s="552">
        <f t="shared" si="39"/>
        <v>24</v>
      </c>
      <c r="AS28" s="552">
        <f t="shared" si="39"/>
        <v>0</v>
      </c>
      <c r="AT28" s="552">
        <f t="shared" si="39"/>
        <v>0</v>
      </c>
      <c r="AU28" s="552">
        <f t="shared" si="39"/>
        <v>26</v>
      </c>
      <c r="AV28" s="552">
        <f t="shared" si="39"/>
        <v>50</v>
      </c>
      <c r="AW28" s="552">
        <f t="shared" si="39"/>
        <v>16</v>
      </c>
      <c r="AX28" s="552">
        <f t="shared" si="39"/>
        <v>16</v>
      </c>
      <c r="AY28" s="552">
        <f t="shared" si="39"/>
        <v>0</v>
      </c>
      <c r="AZ28" s="552">
        <f t="shared" si="39"/>
        <v>0</v>
      </c>
      <c r="BA28" s="552">
        <f t="shared" si="39"/>
        <v>18</v>
      </c>
      <c r="BB28" s="552">
        <f t="shared" si="39"/>
        <v>26</v>
      </c>
      <c r="BC28" s="552">
        <f t="shared" si="39"/>
        <v>8</v>
      </c>
      <c r="BD28" s="552">
        <f t="shared" si="39"/>
        <v>8</v>
      </c>
      <c r="BE28" s="552">
        <f t="shared" si="39"/>
        <v>0</v>
      </c>
      <c r="BF28" s="552">
        <f t="shared" si="39"/>
        <v>0</v>
      </c>
      <c r="BG28" s="552">
        <f t="shared" si="39"/>
        <v>10</v>
      </c>
      <c r="BH28" s="552">
        <f t="shared" ref="BH28:BZ28" si="40">SUM(BH29:BH32)</f>
        <v>116</v>
      </c>
      <c r="BI28" s="552">
        <f t="shared" si="40"/>
        <v>38</v>
      </c>
      <c r="BJ28" s="552">
        <f t="shared" si="40"/>
        <v>38</v>
      </c>
      <c r="BK28" s="552">
        <f t="shared" si="40"/>
        <v>0</v>
      </c>
      <c r="BL28" s="552">
        <f t="shared" si="40"/>
        <v>0</v>
      </c>
      <c r="BM28" s="552">
        <f t="shared" si="40"/>
        <v>40</v>
      </c>
      <c r="BN28" s="552">
        <f t="shared" si="40"/>
        <v>0</v>
      </c>
      <c r="BO28" s="552">
        <f t="shared" si="40"/>
        <v>0</v>
      </c>
      <c r="BP28" s="552">
        <f t="shared" si="40"/>
        <v>0</v>
      </c>
      <c r="BQ28" s="552">
        <f t="shared" si="40"/>
        <v>0</v>
      </c>
      <c r="BR28" s="552">
        <f t="shared" si="40"/>
        <v>0</v>
      </c>
      <c r="BS28" s="552">
        <f t="shared" si="40"/>
        <v>0</v>
      </c>
      <c r="BT28" s="552">
        <f t="shared" si="40"/>
        <v>0</v>
      </c>
      <c r="BU28" s="552">
        <f t="shared" si="40"/>
        <v>0</v>
      </c>
      <c r="BV28" s="552">
        <f t="shared" si="40"/>
        <v>0</v>
      </c>
      <c r="BW28" s="552">
        <f t="shared" si="40"/>
        <v>0</v>
      </c>
      <c r="BX28" s="552">
        <f t="shared" si="40"/>
        <v>0</v>
      </c>
      <c r="BY28" s="552">
        <f t="shared" si="40"/>
        <v>0</v>
      </c>
      <c r="BZ28" s="552">
        <f t="shared" si="40"/>
        <v>0</v>
      </c>
      <c r="CA28" s="552">
        <f>SUM(CA29:CA32)</f>
        <v>0</v>
      </c>
      <c r="CB28" s="552">
        <f>SUM(CB29:CB32)</f>
        <v>0</v>
      </c>
      <c r="CC28" s="552">
        <f>SUM(CC29:CC32)</f>
        <v>0</v>
      </c>
      <c r="CD28" s="301"/>
      <c r="CE28" s="301"/>
    </row>
    <row r="29" spans="1:83" s="142" customFormat="1" ht="20.25" customHeight="1" x14ac:dyDescent="0.2">
      <c r="A29" s="584" t="s">
        <v>163</v>
      </c>
      <c r="B29" s="143" t="s">
        <v>167</v>
      </c>
      <c r="C29" s="134"/>
      <c r="D29" s="135"/>
      <c r="E29" s="135" t="s">
        <v>30</v>
      </c>
      <c r="F29" s="135"/>
      <c r="G29" s="135"/>
      <c r="H29" s="135"/>
      <c r="I29" s="139"/>
      <c r="J29" s="139">
        <v>48</v>
      </c>
      <c r="K29" s="138">
        <f>L29+SUM(Q29:Q29)</f>
        <v>60</v>
      </c>
      <c r="L29" s="138">
        <f>SUM(M29:P29)</f>
        <v>48</v>
      </c>
      <c r="M29" s="138">
        <f t="shared" ref="M29:P32" si="41">S29+Y29+AE29+AK29+AQ29+AW29+BC29+BI29+BP29+BX29</f>
        <v>48</v>
      </c>
      <c r="N29" s="138">
        <f t="shared" si="41"/>
        <v>0</v>
      </c>
      <c r="O29" s="138">
        <f t="shared" si="41"/>
        <v>0</v>
      </c>
      <c r="P29" s="138">
        <f t="shared" si="41"/>
        <v>0</v>
      </c>
      <c r="Q29" s="138">
        <f>W29+AC29+AI29+AO29+AU29+BA29+BG29+BM29+BU29+CC29</f>
        <v>12</v>
      </c>
      <c r="R29" s="253">
        <f>SUM(S29:W29)</f>
        <v>0</v>
      </c>
      <c r="S29" s="139"/>
      <c r="T29" s="139"/>
      <c r="U29" s="139"/>
      <c r="V29" s="139"/>
      <c r="W29" s="139"/>
      <c r="X29" s="253">
        <f>SUM(Y29:AC29)</f>
        <v>0</v>
      </c>
      <c r="Y29" s="139"/>
      <c r="Z29" s="139"/>
      <c r="AA29" s="139"/>
      <c r="AB29" s="139"/>
      <c r="AC29" s="139"/>
      <c r="AD29" s="253">
        <f>SUM(AE29:AI29)</f>
        <v>60</v>
      </c>
      <c r="AE29" s="139">
        <v>48</v>
      </c>
      <c r="AF29" s="139"/>
      <c r="AG29" s="139"/>
      <c r="AH29" s="139"/>
      <c r="AI29" s="139">
        <v>12</v>
      </c>
      <c r="AJ29" s="253">
        <f>SUM(AK29:AO29)</f>
        <v>0</v>
      </c>
      <c r="AK29" s="139"/>
      <c r="AL29" s="139"/>
      <c r="AM29" s="139"/>
      <c r="AN29" s="139"/>
      <c r="AO29" s="139"/>
      <c r="AP29" s="253">
        <f>SUM(AQ29:AU29)</f>
        <v>0</v>
      </c>
      <c r="AQ29" s="139"/>
      <c r="AR29" s="139"/>
      <c r="AS29" s="139"/>
      <c r="AT29" s="139"/>
      <c r="AU29" s="139"/>
      <c r="AV29" s="253">
        <f>SUM(AW29:BA29)</f>
        <v>0</v>
      </c>
      <c r="AW29" s="139"/>
      <c r="AX29" s="139"/>
      <c r="AY29" s="139"/>
      <c r="AZ29" s="139"/>
      <c r="BA29" s="139"/>
      <c r="BB29" s="253">
        <f>SUM(BC29:BG29)</f>
        <v>0</v>
      </c>
      <c r="BC29" s="139"/>
      <c r="BD29" s="139"/>
      <c r="BE29" s="139"/>
      <c r="BF29" s="139"/>
      <c r="BG29" s="139"/>
      <c r="BH29" s="253">
        <f>SUM(BI29:BM29)</f>
        <v>0</v>
      </c>
      <c r="BI29" s="139"/>
      <c r="BJ29" s="139"/>
      <c r="BK29" s="139"/>
      <c r="BL29" s="139"/>
      <c r="BM29" s="139"/>
      <c r="BN29" s="253">
        <f>SUM(BO29:BU29)</f>
        <v>0</v>
      </c>
      <c r="BO29" s="139"/>
      <c r="BP29" s="139"/>
      <c r="BQ29" s="139"/>
      <c r="BR29" s="139"/>
      <c r="BS29" s="139"/>
      <c r="BT29" s="139"/>
      <c r="BU29" s="139"/>
      <c r="BV29" s="253">
        <f>SUM(BW29:CC29)</f>
        <v>0</v>
      </c>
      <c r="BW29" s="139"/>
      <c r="BX29" s="139"/>
      <c r="BY29" s="139"/>
      <c r="BZ29" s="139"/>
      <c r="CA29" s="139"/>
      <c r="CB29" s="139"/>
      <c r="CC29" s="139"/>
      <c r="CD29" s="135" t="s">
        <v>509</v>
      </c>
      <c r="CE29" s="556" t="s">
        <v>294</v>
      </c>
    </row>
    <row r="30" spans="1:83" s="142" customFormat="1" ht="20.25" customHeight="1" x14ac:dyDescent="0.2">
      <c r="A30" s="584" t="s">
        <v>164</v>
      </c>
      <c r="B30" s="143" t="s">
        <v>129</v>
      </c>
      <c r="C30" s="134"/>
      <c r="D30" s="135" t="s">
        <v>30</v>
      </c>
      <c r="E30" s="135"/>
      <c r="F30" s="135"/>
      <c r="G30" s="135"/>
      <c r="H30" s="135"/>
      <c r="I30" s="139"/>
      <c r="J30" s="139">
        <v>48</v>
      </c>
      <c r="K30" s="138">
        <f>L30+SUM(Q30:Q30)</f>
        <v>66</v>
      </c>
      <c r="L30" s="138">
        <f>SUM(M30:P30)</f>
        <v>48</v>
      </c>
      <c r="M30" s="138">
        <f t="shared" si="41"/>
        <v>48</v>
      </c>
      <c r="N30" s="138">
        <f t="shared" si="41"/>
        <v>0</v>
      </c>
      <c r="O30" s="138">
        <f t="shared" si="41"/>
        <v>0</v>
      </c>
      <c r="P30" s="138">
        <f t="shared" si="41"/>
        <v>0</v>
      </c>
      <c r="Q30" s="138">
        <f>W30+AC30+AI30+AO30+AU30+BA30+BG30+BM30+BU30+CC30</f>
        <v>18</v>
      </c>
      <c r="R30" s="253">
        <f>SUM(S30:W30)</f>
        <v>0</v>
      </c>
      <c r="S30" s="139"/>
      <c r="T30" s="139"/>
      <c r="U30" s="139"/>
      <c r="V30" s="139"/>
      <c r="W30" s="139"/>
      <c r="X30" s="253">
        <f>SUM(Y30:AC30)</f>
        <v>0</v>
      </c>
      <c r="Y30" s="139"/>
      <c r="Z30" s="139"/>
      <c r="AA30" s="139"/>
      <c r="AB30" s="139"/>
      <c r="AC30" s="139"/>
      <c r="AD30" s="253">
        <f>SUM(AE30:AI30)</f>
        <v>66</v>
      </c>
      <c r="AE30" s="139">
        <v>48</v>
      </c>
      <c r="AF30" s="139"/>
      <c r="AG30" s="139"/>
      <c r="AH30" s="139"/>
      <c r="AI30" s="139">
        <v>18</v>
      </c>
      <c r="AJ30" s="253">
        <f>SUM(AK30:AO30)</f>
        <v>0</v>
      </c>
      <c r="AK30" s="139"/>
      <c r="AL30" s="139"/>
      <c r="AM30" s="139"/>
      <c r="AN30" s="139"/>
      <c r="AO30" s="139"/>
      <c r="AP30" s="253">
        <f>SUM(AQ30:AU30)</f>
        <v>0</v>
      </c>
      <c r="AQ30" s="139"/>
      <c r="AR30" s="139"/>
      <c r="AS30" s="139"/>
      <c r="AT30" s="139"/>
      <c r="AU30" s="139"/>
      <c r="AV30" s="253">
        <f>SUM(AW30:BA30)</f>
        <v>0</v>
      </c>
      <c r="AW30" s="139"/>
      <c r="AX30" s="139"/>
      <c r="AY30" s="139"/>
      <c r="AZ30" s="139"/>
      <c r="BA30" s="139"/>
      <c r="BB30" s="253">
        <f>SUM(BC30:BG30)</f>
        <v>0</v>
      </c>
      <c r="BC30" s="139"/>
      <c r="BD30" s="139"/>
      <c r="BE30" s="139"/>
      <c r="BF30" s="139"/>
      <c r="BG30" s="139"/>
      <c r="BH30" s="253">
        <f>SUM(BI30:BM30)</f>
        <v>0</v>
      </c>
      <c r="BI30" s="139"/>
      <c r="BJ30" s="139"/>
      <c r="BK30" s="139"/>
      <c r="BL30" s="139"/>
      <c r="BM30" s="139"/>
      <c r="BN30" s="253">
        <f>SUM(BO30:BU30)</f>
        <v>0</v>
      </c>
      <c r="BO30" s="139"/>
      <c r="BP30" s="139"/>
      <c r="BQ30" s="139"/>
      <c r="BR30" s="139"/>
      <c r="BS30" s="139"/>
      <c r="BT30" s="139"/>
      <c r="BU30" s="139"/>
      <c r="BV30" s="253">
        <f>SUM(BW30:CC30)</f>
        <v>0</v>
      </c>
      <c r="BW30" s="139"/>
      <c r="BX30" s="139"/>
      <c r="BY30" s="139"/>
      <c r="BZ30" s="139"/>
      <c r="CA30" s="139"/>
      <c r="CB30" s="139"/>
      <c r="CC30" s="139"/>
      <c r="CD30" s="135" t="s">
        <v>509</v>
      </c>
      <c r="CE30" s="556" t="s">
        <v>294</v>
      </c>
    </row>
    <row r="31" spans="1:83" s="142" customFormat="1" ht="20.25" customHeight="1" x14ac:dyDescent="0.2">
      <c r="A31" s="584" t="s">
        <v>165</v>
      </c>
      <c r="B31" s="143" t="s">
        <v>130</v>
      </c>
      <c r="C31" s="134"/>
      <c r="D31" s="135"/>
      <c r="E31" s="135" t="s">
        <v>477</v>
      </c>
      <c r="F31" s="135"/>
      <c r="G31" s="135"/>
      <c r="H31" s="135" t="s">
        <v>573</v>
      </c>
      <c r="I31" s="139"/>
      <c r="J31" s="139">
        <v>156</v>
      </c>
      <c r="K31" s="138">
        <f>L31+SUM(Q31:Q31)</f>
        <v>174</v>
      </c>
      <c r="L31" s="138">
        <f>SUM(M31:P31)</f>
        <v>156</v>
      </c>
      <c r="M31" s="138">
        <f t="shared" si="41"/>
        <v>0</v>
      </c>
      <c r="N31" s="138">
        <f t="shared" si="41"/>
        <v>156</v>
      </c>
      <c r="O31" s="138">
        <f t="shared" si="41"/>
        <v>0</v>
      </c>
      <c r="P31" s="138">
        <f t="shared" si="41"/>
        <v>0</v>
      </c>
      <c r="Q31" s="138">
        <f>W31+AC31+AI31+AO31+AU31+BA31+BG31+BM31+BU31+CC31</f>
        <v>18</v>
      </c>
      <c r="R31" s="253">
        <f>SUM(S31:W31)</f>
        <v>0</v>
      </c>
      <c r="S31" s="139"/>
      <c r="T31" s="139"/>
      <c r="U31" s="139"/>
      <c r="V31" s="139"/>
      <c r="W31" s="139"/>
      <c r="X31" s="253">
        <f>SUM(Y31:AC31)</f>
        <v>0</v>
      </c>
      <c r="Y31" s="139"/>
      <c r="Z31" s="139"/>
      <c r="AA31" s="139"/>
      <c r="AB31" s="139"/>
      <c r="AC31" s="139"/>
      <c r="AD31" s="253">
        <f>SUM(AE31:AI31)</f>
        <v>40</v>
      </c>
      <c r="AE31" s="139"/>
      <c r="AF31" s="139">
        <v>32</v>
      </c>
      <c r="AG31" s="139"/>
      <c r="AH31" s="139"/>
      <c r="AI31" s="139">
        <v>8</v>
      </c>
      <c r="AJ31" s="253">
        <f>SUM(AK31:AO31)</f>
        <v>40</v>
      </c>
      <c r="AK31" s="139"/>
      <c r="AL31" s="139">
        <v>38</v>
      </c>
      <c r="AM31" s="139"/>
      <c r="AN31" s="139"/>
      <c r="AO31" s="139">
        <v>2</v>
      </c>
      <c r="AP31" s="253">
        <f>SUM(AQ31:AU31)</f>
        <v>26</v>
      </c>
      <c r="AQ31" s="139"/>
      <c r="AR31" s="139">
        <v>24</v>
      </c>
      <c r="AS31" s="139"/>
      <c r="AT31" s="139"/>
      <c r="AU31" s="139">
        <v>2</v>
      </c>
      <c r="AV31" s="253">
        <f>SUM(AW31:BA31)</f>
        <v>18</v>
      </c>
      <c r="AW31" s="164"/>
      <c r="AX31" s="164">
        <v>16</v>
      </c>
      <c r="AY31" s="164"/>
      <c r="AZ31" s="139"/>
      <c r="BA31" s="139">
        <v>2</v>
      </c>
      <c r="BB31" s="253">
        <f>SUM(BC31:BG31)</f>
        <v>10</v>
      </c>
      <c r="BC31" s="139"/>
      <c r="BD31" s="139">
        <v>8</v>
      </c>
      <c r="BE31" s="139"/>
      <c r="BF31" s="139"/>
      <c r="BG31" s="139">
        <v>2</v>
      </c>
      <c r="BH31" s="253">
        <f>SUM(BI31:BM31)</f>
        <v>40</v>
      </c>
      <c r="BI31" s="139"/>
      <c r="BJ31" s="139">
        <v>38</v>
      </c>
      <c r="BK31" s="139"/>
      <c r="BL31" s="139"/>
      <c r="BM31" s="139">
        <v>2</v>
      </c>
      <c r="BN31" s="253">
        <f>SUM(BO31:BU31)</f>
        <v>0</v>
      </c>
      <c r="BO31" s="139"/>
      <c r="BP31" s="139"/>
      <c r="BQ31" s="139"/>
      <c r="BR31" s="139"/>
      <c r="BS31" s="139"/>
      <c r="BT31" s="139"/>
      <c r="BU31" s="139"/>
      <c r="BV31" s="253">
        <f>SUM(BW31:CC31)</f>
        <v>0</v>
      </c>
      <c r="BW31" s="139"/>
      <c r="BX31" s="139"/>
      <c r="BY31" s="139"/>
      <c r="BZ31" s="139"/>
      <c r="CA31" s="139"/>
      <c r="CB31" s="139"/>
      <c r="CC31" s="139"/>
      <c r="CD31" s="135" t="s">
        <v>509</v>
      </c>
      <c r="CE31" s="556" t="s">
        <v>294</v>
      </c>
    </row>
    <row r="32" spans="1:83" s="142" customFormat="1" ht="25.5" x14ac:dyDescent="0.2">
      <c r="A32" s="584" t="s">
        <v>166</v>
      </c>
      <c r="B32" s="143" t="s">
        <v>7</v>
      </c>
      <c r="C32" s="134"/>
      <c r="D32" s="135"/>
      <c r="E32" s="135" t="s">
        <v>427</v>
      </c>
      <c r="F32" s="135"/>
      <c r="G32" s="135"/>
      <c r="H32" s="135"/>
      <c r="I32" s="139">
        <v>312</v>
      </c>
      <c r="J32" s="139">
        <v>156</v>
      </c>
      <c r="K32" s="138">
        <f>L32+SUM(Q32:Q32)</f>
        <v>312</v>
      </c>
      <c r="L32" s="138">
        <f>SUM(M32:P32)</f>
        <v>156</v>
      </c>
      <c r="M32" s="138">
        <f t="shared" si="41"/>
        <v>156</v>
      </c>
      <c r="N32" s="138">
        <f t="shared" si="41"/>
        <v>0</v>
      </c>
      <c r="O32" s="138">
        <f t="shared" si="41"/>
        <v>0</v>
      </c>
      <c r="P32" s="138">
        <f t="shared" si="41"/>
        <v>0</v>
      </c>
      <c r="Q32" s="138">
        <f>W32+AC32+AI32+AO32+AU32+BA32+BG32+BM32+BU32+CC32</f>
        <v>156</v>
      </c>
      <c r="R32" s="253">
        <f>SUM(S32:W32)</f>
        <v>0</v>
      </c>
      <c r="S32" s="139"/>
      <c r="T32" s="139"/>
      <c r="U32" s="139"/>
      <c r="V32" s="139"/>
      <c r="W32" s="139"/>
      <c r="X32" s="253">
        <f>SUM(Y32:AC32)</f>
        <v>0</v>
      </c>
      <c r="Y32" s="139"/>
      <c r="Z32" s="139"/>
      <c r="AA32" s="139"/>
      <c r="AB32" s="139"/>
      <c r="AC32" s="139"/>
      <c r="AD32" s="253">
        <f>SUM(AE32:AI32)</f>
        <v>64</v>
      </c>
      <c r="AE32" s="139">
        <v>32</v>
      </c>
      <c r="AF32" s="139"/>
      <c r="AG32" s="139"/>
      <c r="AH32" s="139"/>
      <c r="AI32" s="139">
        <v>32</v>
      </c>
      <c r="AJ32" s="253">
        <f>SUM(AK32:AO32)</f>
        <v>76</v>
      </c>
      <c r="AK32" s="139">
        <v>38</v>
      </c>
      <c r="AL32" s="139"/>
      <c r="AM32" s="139"/>
      <c r="AN32" s="139"/>
      <c r="AO32" s="139">
        <v>38</v>
      </c>
      <c r="AP32" s="253">
        <f>SUM(AQ32:AU32)</f>
        <v>48</v>
      </c>
      <c r="AQ32" s="139">
        <v>24</v>
      </c>
      <c r="AR32" s="139"/>
      <c r="AS32" s="139"/>
      <c r="AT32" s="139"/>
      <c r="AU32" s="139">
        <v>24</v>
      </c>
      <c r="AV32" s="253">
        <f>SUM(AW32:BA32)</f>
        <v>32</v>
      </c>
      <c r="AW32" s="164">
        <v>16</v>
      </c>
      <c r="AX32" s="164"/>
      <c r="AY32" s="164"/>
      <c r="AZ32" s="139"/>
      <c r="BA32" s="139">
        <v>16</v>
      </c>
      <c r="BB32" s="253">
        <f>SUM(BC32:BG32)</f>
        <v>16</v>
      </c>
      <c r="BC32" s="139">
        <v>8</v>
      </c>
      <c r="BD32" s="139"/>
      <c r="BE32" s="139"/>
      <c r="BF32" s="139"/>
      <c r="BG32" s="139">
        <v>8</v>
      </c>
      <c r="BH32" s="253">
        <f>SUM(BI32:BM32)</f>
        <v>76</v>
      </c>
      <c r="BI32" s="139">
        <v>38</v>
      </c>
      <c r="BJ32" s="139"/>
      <c r="BK32" s="139"/>
      <c r="BL32" s="139"/>
      <c r="BM32" s="139">
        <v>38</v>
      </c>
      <c r="BN32" s="253">
        <f>SUM(BO32:BU32)</f>
        <v>0</v>
      </c>
      <c r="BO32" s="139"/>
      <c r="BP32" s="139"/>
      <c r="BQ32" s="139"/>
      <c r="BR32" s="139"/>
      <c r="BS32" s="139"/>
      <c r="BT32" s="139"/>
      <c r="BU32" s="139"/>
      <c r="BV32" s="253">
        <f>SUM(BW32:CC32)</f>
        <v>0</v>
      </c>
      <c r="BW32" s="139"/>
      <c r="BX32" s="139"/>
      <c r="BY32" s="139"/>
      <c r="BZ32" s="139"/>
      <c r="CA32" s="139"/>
      <c r="CB32" s="139"/>
      <c r="CC32" s="139"/>
      <c r="CD32" s="135" t="s">
        <v>511</v>
      </c>
      <c r="CE32" s="556" t="s">
        <v>428</v>
      </c>
    </row>
    <row r="33" spans="1:83" s="121" customFormat="1" ht="30" customHeight="1" x14ac:dyDescent="0.2">
      <c r="A33" s="557" t="s">
        <v>169</v>
      </c>
      <c r="B33" s="712" t="s">
        <v>253</v>
      </c>
      <c r="C33" s="712"/>
      <c r="D33" s="712"/>
      <c r="E33" s="712"/>
      <c r="F33" s="712"/>
      <c r="G33" s="712"/>
      <c r="H33" s="712"/>
      <c r="I33" s="552">
        <v>162</v>
      </c>
      <c r="J33" s="552">
        <v>108</v>
      </c>
      <c r="K33" s="552">
        <f t="shared" ref="K33:BF33" si="42">SUM(K34:K36)</f>
        <v>168</v>
      </c>
      <c r="L33" s="552">
        <f t="shared" si="42"/>
        <v>112</v>
      </c>
      <c r="M33" s="552">
        <f t="shared" si="42"/>
        <v>86</v>
      </c>
      <c r="N33" s="552">
        <f t="shared" si="42"/>
        <v>26</v>
      </c>
      <c r="O33" s="552">
        <f t="shared" si="42"/>
        <v>0</v>
      </c>
      <c r="P33" s="552">
        <f t="shared" si="42"/>
        <v>0</v>
      </c>
      <c r="Q33" s="552">
        <f t="shared" si="42"/>
        <v>56</v>
      </c>
      <c r="R33" s="552">
        <f t="shared" si="42"/>
        <v>0</v>
      </c>
      <c r="S33" s="552">
        <f t="shared" si="42"/>
        <v>0</v>
      </c>
      <c r="T33" s="552">
        <f t="shared" si="42"/>
        <v>0</v>
      </c>
      <c r="U33" s="552">
        <f t="shared" si="42"/>
        <v>0</v>
      </c>
      <c r="V33" s="552">
        <f t="shared" si="42"/>
        <v>0</v>
      </c>
      <c r="W33" s="552">
        <f t="shared" si="42"/>
        <v>0</v>
      </c>
      <c r="X33" s="552">
        <f t="shared" si="42"/>
        <v>0</v>
      </c>
      <c r="Y33" s="552">
        <f t="shared" si="42"/>
        <v>0</v>
      </c>
      <c r="Z33" s="552">
        <f t="shared" si="42"/>
        <v>0</v>
      </c>
      <c r="AA33" s="552">
        <f t="shared" si="42"/>
        <v>0</v>
      </c>
      <c r="AB33" s="552">
        <f t="shared" si="42"/>
        <v>0</v>
      </c>
      <c r="AC33" s="552">
        <f t="shared" si="42"/>
        <v>0</v>
      </c>
      <c r="AD33" s="552">
        <f t="shared" si="42"/>
        <v>168</v>
      </c>
      <c r="AE33" s="552">
        <f t="shared" si="42"/>
        <v>86</v>
      </c>
      <c r="AF33" s="552">
        <f t="shared" si="42"/>
        <v>26</v>
      </c>
      <c r="AG33" s="552">
        <f t="shared" si="42"/>
        <v>0</v>
      </c>
      <c r="AH33" s="552">
        <f t="shared" si="42"/>
        <v>0</v>
      </c>
      <c r="AI33" s="552">
        <f t="shared" si="42"/>
        <v>56</v>
      </c>
      <c r="AJ33" s="552">
        <f t="shared" si="42"/>
        <v>0</v>
      </c>
      <c r="AK33" s="552">
        <f t="shared" si="42"/>
        <v>0</v>
      </c>
      <c r="AL33" s="552">
        <f t="shared" si="42"/>
        <v>0</v>
      </c>
      <c r="AM33" s="552">
        <f t="shared" si="42"/>
        <v>0</v>
      </c>
      <c r="AN33" s="552">
        <f t="shared" si="42"/>
        <v>0</v>
      </c>
      <c r="AO33" s="552">
        <f t="shared" si="42"/>
        <v>0</v>
      </c>
      <c r="AP33" s="552">
        <f t="shared" si="42"/>
        <v>0</v>
      </c>
      <c r="AQ33" s="552">
        <f t="shared" si="42"/>
        <v>0</v>
      </c>
      <c r="AR33" s="552">
        <f t="shared" si="42"/>
        <v>0</v>
      </c>
      <c r="AS33" s="552">
        <f t="shared" si="42"/>
        <v>0</v>
      </c>
      <c r="AT33" s="552">
        <f t="shared" si="42"/>
        <v>0</v>
      </c>
      <c r="AU33" s="552">
        <f t="shared" si="42"/>
        <v>0</v>
      </c>
      <c r="AV33" s="552">
        <f t="shared" si="42"/>
        <v>0</v>
      </c>
      <c r="AW33" s="552">
        <f t="shared" si="42"/>
        <v>0</v>
      </c>
      <c r="AX33" s="552">
        <f t="shared" si="42"/>
        <v>0</v>
      </c>
      <c r="AY33" s="552">
        <f t="shared" si="42"/>
        <v>0</v>
      </c>
      <c r="AZ33" s="552">
        <f t="shared" si="42"/>
        <v>0</v>
      </c>
      <c r="BA33" s="552">
        <f t="shared" si="42"/>
        <v>0</v>
      </c>
      <c r="BB33" s="552">
        <f t="shared" si="42"/>
        <v>0</v>
      </c>
      <c r="BC33" s="552">
        <f t="shared" si="42"/>
        <v>0</v>
      </c>
      <c r="BD33" s="552">
        <f t="shared" si="42"/>
        <v>0</v>
      </c>
      <c r="BE33" s="552">
        <f t="shared" si="42"/>
        <v>0</v>
      </c>
      <c r="BF33" s="552">
        <f t="shared" si="42"/>
        <v>0</v>
      </c>
      <c r="BG33" s="552">
        <f t="shared" ref="BG33:BZ33" si="43">SUM(BG34:BG36)</f>
        <v>0</v>
      </c>
      <c r="BH33" s="552">
        <f t="shared" si="43"/>
        <v>0</v>
      </c>
      <c r="BI33" s="552">
        <f t="shared" si="43"/>
        <v>0</v>
      </c>
      <c r="BJ33" s="552">
        <f t="shared" si="43"/>
        <v>0</v>
      </c>
      <c r="BK33" s="552">
        <f t="shared" si="43"/>
        <v>0</v>
      </c>
      <c r="BL33" s="552">
        <f t="shared" si="43"/>
        <v>0</v>
      </c>
      <c r="BM33" s="552">
        <f t="shared" si="43"/>
        <v>0</v>
      </c>
      <c r="BN33" s="552">
        <f t="shared" si="43"/>
        <v>0</v>
      </c>
      <c r="BO33" s="552">
        <f t="shared" si="43"/>
        <v>0</v>
      </c>
      <c r="BP33" s="552">
        <f t="shared" si="43"/>
        <v>0</v>
      </c>
      <c r="BQ33" s="552">
        <f t="shared" si="43"/>
        <v>0</v>
      </c>
      <c r="BR33" s="552">
        <f t="shared" si="43"/>
        <v>0</v>
      </c>
      <c r="BS33" s="552">
        <f t="shared" si="43"/>
        <v>0</v>
      </c>
      <c r="BT33" s="552">
        <f t="shared" si="43"/>
        <v>0</v>
      </c>
      <c r="BU33" s="552">
        <f t="shared" si="43"/>
        <v>0</v>
      </c>
      <c r="BV33" s="552">
        <f t="shared" si="43"/>
        <v>0</v>
      </c>
      <c r="BW33" s="552">
        <f t="shared" si="43"/>
        <v>0</v>
      </c>
      <c r="BX33" s="552">
        <f t="shared" si="43"/>
        <v>0</v>
      </c>
      <c r="BY33" s="552">
        <f t="shared" si="43"/>
        <v>0</v>
      </c>
      <c r="BZ33" s="552">
        <f t="shared" si="43"/>
        <v>0</v>
      </c>
      <c r="CA33" s="552">
        <f>SUM(CA34:CA36)</f>
        <v>0</v>
      </c>
      <c r="CB33" s="552">
        <f>SUM(CB34:CB36)</f>
        <v>0</v>
      </c>
      <c r="CC33" s="552">
        <f>SUM(CC34:CC36)</f>
        <v>0</v>
      </c>
      <c r="CD33" s="301"/>
      <c r="CE33" s="301"/>
    </row>
    <row r="34" spans="1:83" s="142" customFormat="1" ht="25.5" x14ac:dyDescent="0.2">
      <c r="A34" s="584" t="s">
        <v>170</v>
      </c>
      <c r="B34" s="143" t="s">
        <v>131</v>
      </c>
      <c r="C34" s="143"/>
      <c r="D34" s="144" t="s">
        <v>30</v>
      </c>
      <c r="E34" s="144"/>
      <c r="F34" s="144"/>
      <c r="G34" s="144"/>
      <c r="H34" s="144"/>
      <c r="I34" s="164"/>
      <c r="J34" s="139"/>
      <c r="K34" s="138">
        <f>L34+SUM(Q34:Q34)</f>
        <v>60</v>
      </c>
      <c r="L34" s="138">
        <f>SUM(M34:P34)</f>
        <v>40</v>
      </c>
      <c r="M34" s="138">
        <f t="shared" ref="M34:P36" si="44">S34+Y34+AE34+AK34+AQ34+AW34+BC34+BI34+BP34+BX34</f>
        <v>40</v>
      </c>
      <c r="N34" s="138">
        <f t="shared" si="44"/>
        <v>0</v>
      </c>
      <c r="O34" s="138">
        <f t="shared" si="44"/>
        <v>0</v>
      </c>
      <c r="P34" s="138">
        <f t="shared" si="44"/>
        <v>0</v>
      </c>
      <c r="Q34" s="138">
        <f>W34+AC34+AI34+AO34+AU34+BA34+BG34+BM34+BU34+CC34</f>
        <v>20</v>
      </c>
      <c r="R34" s="253">
        <f>SUM(S34:W34)</f>
        <v>0</v>
      </c>
      <c r="S34" s="139"/>
      <c r="T34" s="139"/>
      <c r="U34" s="139"/>
      <c r="V34" s="139"/>
      <c r="W34" s="139"/>
      <c r="X34" s="253">
        <f>SUM(Y34:AC34)</f>
        <v>0</v>
      </c>
      <c r="Y34" s="139"/>
      <c r="Z34" s="139"/>
      <c r="AA34" s="139"/>
      <c r="AB34" s="139"/>
      <c r="AC34" s="139"/>
      <c r="AD34" s="253">
        <f>SUM(AE34:AI34)</f>
        <v>60</v>
      </c>
      <c r="AE34" s="139">
        <v>40</v>
      </c>
      <c r="AF34" s="139"/>
      <c r="AG34" s="139"/>
      <c r="AH34" s="139"/>
      <c r="AI34" s="139">
        <v>20</v>
      </c>
      <c r="AJ34" s="253">
        <f>SUM(AK34:AO34)</f>
        <v>0</v>
      </c>
      <c r="AK34" s="139"/>
      <c r="AL34" s="139"/>
      <c r="AM34" s="139"/>
      <c r="AN34" s="139"/>
      <c r="AO34" s="139"/>
      <c r="AP34" s="253">
        <f>SUM(AQ34:AU34)</f>
        <v>0</v>
      </c>
      <c r="AQ34" s="139"/>
      <c r="AR34" s="139"/>
      <c r="AS34" s="139"/>
      <c r="AT34" s="139"/>
      <c r="AU34" s="139"/>
      <c r="AV34" s="253">
        <f>SUM(AW34:BA34)</f>
        <v>0</v>
      </c>
      <c r="AW34" s="139"/>
      <c r="AX34" s="139"/>
      <c r="AY34" s="139"/>
      <c r="AZ34" s="139"/>
      <c r="BA34" s="139"/>
      <c r="BB34" s="253">
        <f>SUM(BC34:BG34)</f>
        <v>0</v>
      </c>
      <c r="BC34" s="139"/>
      <c r="BD34" s="139"/>
      <c r="BE34" s="139"/>
      <c r="BF34" s="139"/>
      <c r="BG34" s="139"/>
      <c r="BH34" s="253">
        <f>SUM(BI34:BM34)</f>
        <v>0</v>
      </c>
      <c r="BI34" s="139"/>
      <c r="BJ34" s="139"/>
      <c r="BK34" s="139"/>
      <c r="BL34" s="139"/>
      <c r="BM34" s="139"/>
      <c r="BN34" s="253">
        <f>SUM(BO34:BU34)</f>
        <v>0</v>
      </c>
      <c r="BO34" s="139"/>
      <c r="BP34" s="139"/>
      <c r="BQ34" s="139"/>
      <c r="BR34" s="139"/>
      <c r="BS34" s="139"/>
      <c r="BT34" s="139"/>
      <c r="BU34" s="139"/>
      <c r="BV34" s="253">
        <f>SUM(BW34:CC34)</f>
        <v>0</v>
      </c>
      <c r="BW34" s="139"/>
      <c r="BX34" s="139"/>
      <c r="BY34" s="139"/>
      <c r="BZ34" s="139"/>
      <c r="CA34" s="139"/>
      <c r="CB34" s="139"/>
      <c r="CC34" s="139"/>
      <c r="CD34" s="135" t="s">
        <v>510</v>
      </c>
      <c r="CE34" s="556" t="s">
        <v>339</v>
      </c>
    </row>
    <row r="35" spans="1:83" s="142" customFormat="1" ht="25.5" x14ac:dyDescent="0.2">
      <c r="A35" s="584" t="s">
        <v>171</v>
      </c>
      <c r="B35" s="143" t="s">
        <v>132</v>
      </c>
      <c r="C35" s="143"/>
      <c r="D35" s="144"/>
      <c r="E35" s="144" t="s">
        <v>30</v>
      </c>
      <c r="F35" s="144"/>
      <c r="G35" s="144"/>
      <c r="H35" s="144"/>
      <c r="I35" s="139"/>
      <c r="J35" s="139"/>
      <c r="K35" s="138">
        <f>L35+SUM(Q35:Q35)</f>
        <v>60</v>
      </c>
      <c r="L35" s="138">
        <f>SUM(M35:P35)</f>
        <v>40</v>
      </c>
      <c r="M35" s="138">
        <f t="shared" si="44"/>
        <v>14</v>
      </c>
      <c r="N35" s="138">
        <f t="shared" si="44"/>
        <v>26</v>
      </c>
      <c r="O35" s="138">
        <f t="shared" si="44"/>
        <v>0</v>
      </c>
      <c r="P35" s="138">
        <f t="shared" si="44"/>
        <v>0</v>
      </c>
      <c r="Q35" s="138">
        <f>W35+AC35+AI35+AO35+AU35+BA35+BG35+BM35+BU35+CC35</f>
        <v>20</v>
      </c>
      <c r="R35" s="253">
        <f>SUM(S35:W35)</f>
        <v>0</v>
      </c>
      <c r="S35" s="139"/>
      <c r="T35" s="139"/>
      <c r="U35" s="139"/>
      <c r="V35" s="139"/>
      <c r="W35" s="139"/>
      <c r="X35" s="253">
        <f>SUM(Y35:AC35)</f>
        <v>0</v>
      </c>
      <c r="Y35" s="139"/>
      <c r="Z35" s="139"/>
      <c r="AA35" s="139"/>
      <c r="AB35" s="139"/>
      <c r="AC35" s="139"/>
      <c r="AD35" s="253">
        <f>SUM(AE35:AI35)</f>
        <v>60</v>
      </c>
      <c r="AE35" s="139">
        <v>14</v>
      </c>
      <c r="AF35" s="139">
        <v>26</v>
      </c>
      <c r="AG35" s="139"/>
      <c r="AH35" s="139"/>
      <c r="AI35" s="139">
        <v>20</v>
      </c>
      <c r="AJ35" s="253">
        <f>SUM(AK35:AO35)</f>
        <v>0</v>
      </c>
      <c r="AK35" s="139"/>
      <c r="AL35" s="139"/>
      <c r="AM35" s="139"/>
      <c r="AN35" s="139"/>
      <c r="AO35" s="139"/>
      <c r="AP35" s="253">
        <f>SUM(AQ35:AU35)</f>
        <v>0</v>
      </c>
      <c r="AQ35" s="139"/>
      <c r="AR35" s="139"/>
      <c r="AS35" s="139"/>
      <c r="AT35" s="139"/>
      <c r="AU35" s="139"/>
      <c r="AV35" s="253">
        <f>SUM(AW35:BA35)</f>
        <v>0</v>
      </c>
      <c r="AW35" s="139"/>
      <c r="AX35" s="139"/>
      <c r="AY35" s="139"/>
      <c r="AZ35" s="139"/>
      <c r="BA35" s="139"/>
      <c r="BB35" s="253">
        <f>SUM(BC35:BG35)</f>
        <v>0</v>
      </c>
      <c r="BC35" s="139"/>
      <c r="BD35" s="139"/>
      <c r="BE35" s="139"/>
      <c r="BF35" s="139"/>
      <c r="BG35" s="139"/>
      <c r="BH35" s="253">
        <f>SUM(BI35:BM35)</f>
        <v>0</v>
      </c>
      <c r="BI35" s="139"/>
      <c r="BJ35" s="139"/>
      <c r="BK35" s="139"/>
      <c r="BL35" s="139"/>
      <c r="BM35" s="139"/>
      <c r="BN35" s="253">
        <f>SUM(BO35:BU35)</f>
        <v>0</v>
      </c>
      <c r="BO35" s="139"/>
      <c r="BP35" s="139"/>
      <c r="BQ35" s="139"/>
      <c r="BR35" s="139"/>
      <c r="BS35" s="139"/>
      <c r="BT35" s="139"/>
      <c r="BU35" s="139"/>
      <c r="BV35" s="253">
        <f>SUM(BW35:CC35)</f>
        <v>0</v>
      </c>
      <c r="BW35" s="139"/>
      <c r="BX35" s="139"/>
      <c r="BY35" s="139"/>
      <c r="BZ35" s="139"/>
      <c r="CA35" s="139"/>
      <c r="CB35" s="139"/>
      <c r="CC35" s="139"/>
      <c r="CD35" s="135" t="s">
        <v>510</v>
      </c>
      <c r="CE35" s="556" t="s">
        <v>432</v>
      </c>
    </row>
    <row r="36" spans="1:83" s="142" customFormat="1" ht="25.5" x14ac:dyDescent="0.2">
      <c r="A36" s="584" t="s">
        <v>295</v>
      </c>
      <c r="B36" s="143" t="s">
        <v>431</v>
      </c>
      <c r="C36" s="134"/>
      <c r="D36" s="135"/>
      <c r="E36" s="135" t="s">
        <v>30</v>
      </c>
      <c r="F36" s="135"/>
      <c r="G36" s="135"/>
      <c r="H36" s="135"/>
      <c r="I36" s="139"/>
      <c r="J36" s="139"/>
      <c r="K36" s="138">
        <f>L36+SUM(Q36:Q36)</f>
        <v>48</v>
      </c>
      <c r="L36" s="138">
        <f>SUM(M36:P36)</f>
        <v>32</v>
      </c>
      <c r="M36" s="138">
        <f t="shared" si="44"/>
        <v>32</v>
      </c>
      <c r="N36" s="138">
        <f t="shared" si="44"/>
        <v>0</v>
      </c>
      <c r="O36" s="138">
        <f t="shared" si="44"/>
        <v>0</v>
      </c>
      <c r="P36" s="138">
        <f t="shared" si="44"/>
        <v>0</v>
      </c>
      <c r="Q36" s="138">
        <f>W36+AC36+AI36+AO36+AU36+BA36+BG36+BM36+BU36+CC36</f>
        <v>16</v>
      </c>
      <c r="R36" s="253">
        <f>SUM(S36:W36)</f>
        <v>0</v>
      </c>
      <c r="S36" s="139"/>
      <c r="T36" s="139"/>
      <c r="U36" s="139"/>
      <c r="V36" s="139"/>
      <c r="W36" s="139"/>
      <c r="X36" s="253">
        <f>SUM(Y36:AC36)</f>
        <v>0</v>
      </c>
      <c r="Y36" s="139"/>
      <c r="Z36" s="139"/>
      <c r="AA36" s="139"/>
      <c r="AB36" s="139"/>
      <c r="AC36" s="139"/>
      <c r="AD36" s="253">
        <f>SUM(AE36:AI36)</f>
        <v>48</v>
      </c>
      <c r="AE36" s="139">
        <v>32</v>
      </c>
      <c r="AF36" s="139"/>
      <c r="AG36" s="139"/>
      <c r="AH36" s="139"/>
      <c r="AI36" s="139">
        <v>16</v>
      </c>
      <c r="AJ36" s="253">
        <f>SUM(AK36:AO36)</f>
        <v>0</v>
      </c>
      <c r="AK36" s="139"/>
      <c r="AL36" s="139"/>
      <c r="AM36" s="139"/>
      <c r="AN36" s="139"/>
      <c r="AO36" s="139"/>
      <c r="AP36" s="253">
        <f>SUM(AQ36:AU36)</f>
        <v>0</v>
      </c>
      <c r="AQ36" s="139"/>
      <c r="AR36" s="139"/>
      <c r="AS36" s="139"/>
      <c r="AT36" s="139"/>
      <c r="AU36" s="139"/>
      <c r="AV36" s="253">
        <f>SUM(AW36:BA36)</f>
        <v>0</v>
      </c>
      <c r="AW36" s="139"/>
      <c r="AX36" s="139"/>
      <c r="AY36" s="139"/>
      <c r="AZ36" s="139"/>
      <c r="BA36" s="139"/>
      <c r="BB36" s="253">
        <f>SUM(BC36:BG36)</f>
        <v>0</v>
      </c>
      <c r="BC36" s="139"/>
      <c r="BD36" s="139"/>
      <c r="BE36" s="139"/>
      <c r="BF36" s="139"/>
      <c r="BG36" s="139"/>
      <c r="BH36" s="253">
        <f>SUM(BI36:BM36)</f>
        <v>0</v>
      </c>
      <c r="BI36" s="139"/>
      <c r="BJ36" s="139"/>
      <c r="BK36" s="139"/>
      <c r="BL36" s="139"/>
      <c r="BM36" s="139"/>
      <c r="BN36" s="253">
        <f>SUM(BO36:BU36)</f>
        <v>0</v>
      </c>
      <c r="BO36" s="139"/>
      <c r="BP36" s="139"/>
      <c r="BQ36" s="139"/>
      <c r="BR36" s="139"/>
      <c r="BS36" s="139"/>
      <c r="BT36" s="139"/>
      <c r="BU36" s="139"/>
      <c r="BV36" s="253">
        <f>SUM(BW36:CC36)</f>
        <v>0</v>
      </c>
      <c r="BW36" s="139"/>
      <c r="BX36" s="139"/>
      <c r="BY36" s="139"/>
      <c r="BZ36" s="139"/>
      <c r="CA36" s="139"/>
      <c r="CB36" s="139"/>
      <c r="CC36" s="139"/>
      <c r="CD36" s="135" t="s">
        <v>510</v>
      </c>
      <c r="CE36" s="556" t="s">
        <v>340</v>
      </c>
    </row>
    <row r="37" spans="1:83" s="121" customFormat="1" ht="27" customHeight="1" x14ac:dyDescent="0.2">
      <c r="A37" s="557" t="s">
        <v>192</v>
      </c>
      <c r="B37" s="712" t="s">
        <v>612</v>
      </c>
      <c r="C37" s="712"/>
      <c r="D37" s="301" t="s">
        <v>26</v>
      </c>
      <c r="E37" s="301"/>
      <c r="F37" s="301"/>
      <c r="G37" s="301"/>
      <c r="H37" s="301"/>
      <c r="I37" s="552">
        <v>2196</v>
      </c>
      <c r="J37" s="552">
        <v>1464</v>
      </c>
      <c r="K37" s="552">
        <f t="shared" ref="K37:AH37" si="45">K38+K47</f>
        <v>3078</v>
      </c>
      <c r="L37" s="552">
        <f t="shared" si="45"/>
        <v>2055</v>
      </c>
      <c r="M37" s="552">
        <f t="shared" si="45"/>
        <v>1541</v>
      </c>
      <c r="N37" s="552">
        <f t="shared" si="45"/>
        <v>454</v>
      </c>
      <c r="O37" s="552">
        <f t="shared" si="45"/>
        <v>60</v>
      </c>
      <c r="P37" s="552">
        <f t="shared" si="45"/>
        <v>0</v>
      </c>
      <c r="Q37" s="552">
        <f t="shared" si="45"/>
        <v>1023</v>
      </c>
      <c r="R37" s="552">
        <f t="shared" si="45"/>
        <v>0</v>
      </c>
      <c r="S37" s="552">
        <f t="shared" si="45"/>
        <v>0</v>
      </c>
      <c r="T37" s="552">
        <f t="shared" si="45"/>
        <v>0</v>
      </c>
      <c r="U37" s="552">
        <f t="shared" si="45"/>
        <v>0</v>
      </c>
      <c r="V37" s="552">
        <f t="shared" si="45"/>
        <v>0</v>
      </c>
      <c r="W37" s="552">
        <f t="shared" si="45"/>
        <v>0</v>
      </c>
      <c r="X37" s="552">
        <f t="shared" si="45"/>
        <v>0</v>
      </c>
      <c r="Y37" s="552">
        <f t="shared" si="45"/>
        <v>0</v>
      </c>
      <c r="Z37" s="552">
        <f t="shared" si="45"/>
        <v>0</v>
      </c>
      <c r="AA37" s="552">
        <f t="shared" si="45"/>
        <v>0</v>
      </c>
      <c r="AB37" s="552">
        <f t="shared" si="45"/>
        <v>0</v>
      </c>
      <c r="AC37" s="552">
        <f t="shared" si="45"/>
        <v>0</v>
      </c>
      <c r="AD37" s="552">
        <f t="shared" si="45"/>
        <v>366</v>
      </c>
      <c r="AE37" s="552">
        <f t="shared" si="45"/>
        <v>200</v>
      </c>
      <c r="AF37" s="552">
        <f t="shared" si="45"/>
        <v>40</v>
      </c>
      <c r="AG37" s="552">
        <f t="shared" si="45"/>
        <v>0</v>
      </c>
      <c r="AH37" s="552">
        <f t="shared" si="45"/>
        <v>0</v>
      </c>
      <c r="AI37" s="552">
        <f t="shared" ref="AI37:BF37" si="46">AI38+AI47</f>
        <v>126</v>
      </c>
      <c r="AJ37" s="552">
        <f t="shared" si="46"/>
        <v>824</v>
      </c>
      <c r="AK37" s="552">
        <f t="shared" si="46"/>
        <v>497</v>
      </c>
      <c r="AL37" s="552">
        <f t="shared" si="46"/>
        <v>54</v>
      </c>
      <c r="AM37" s="552">
        <f t="shared" si="46"/>
        <v>0</v>
      </c>
      <c r="AN37" s="552">
        <f t="shared" si="46"/>
        <v>0</v>
      </c>
      <c r="AO37" s="552">
        <f t="shared" si="46"/>
        <v>273</v>
      </c>
      <c r="AP37" s="552">
        <f t="shared" si="46"/>
        <v>520</v>
      </c>
      <c r="AQ37" s="552">
        <f t="shared" si="46"/>
        <v>298</v>
      </c>
      <c r="AR37" s="552">
        <f t="shared" si="46"/>
        <v>50</v>
      </c>
      <c r="AS37" s="552">
        <f t="shared" si="46"/>
        <v>0</v>
      </c>
      <c r="AT37" s="552">
        <f t="shared" si="46"/>
        <v>0</v>
      </c>
      <c r="AU37" s="552">
        <f t="shared" si="46"/>
        <v>172</v>
      </c>
      <c r="AV37" s="552">
        <f t="shared" si="46"/>
        <v>382</v>
      </c>
      <c r="AW37" s="552">
        <f t="shared" si="46"/>
        <v>178</v>
      </c>
      <c r="AX37" s="552">
        <f t="shared" si="46"/>
        <v>48</v>
      </c>
      <c r="AY37" s="552">
        <f t="shared" si="46"/>
        <v>30</v>
      </c>
      <c r="AZ37" s="552">
        <f t="shared" si="46"/>
        <v>0</v>
      </c>
      <c r="BA37" s="552">
        <f t="shared" si="46"/>
        <v>126</v>
      </c>
      <c r="BB37" s="552">
        <f t="shared" si="46"/>
        <v>190</v>
      </c>
      <c r="BC37" s="552">
        <f t="shared" si="46"/>
        <v>80</v>
      </c>
      <c r="BD37" s="552">
        <f t="shared" si="46"/>
        <v>48</v>
      </c>
      <c r="BE37" s="552">
        <f t="shared" si="46"/>
        <v>0</v>
      </c>
      <c r="BF37" s="552">
        <f t="shared" si="46"/>
        <v>0</v>
      </c>
      <c r="BG37" s="552">
        <f t="shared" ref="BG37:CC37" si="47">BG38+BG47</f>
        <v>62</v>
      </c>
      <c r="BH37" s="552">
        <f t="shared" si="47"/>
        <v>796</v>
      </c>
      <c r="BI37" s="552">
        <f t="shared" si="47"/>
        <v>288</v>
      </c>
      <c r="BJ37" s="552">
        <f t="shared" si="47"/>
        <v>214</v>
      </c>
      <c r="BK37" s="552">
        <f t="shared" si="47"/>
        <v>30</v>
      </c>
      <c r="BL37" s="552">
        <f t="shared" si="47"/>
        <v>0</v>
      </c>
      <c r="BM37" s="552">
        <f t="shared" si="47"/>
        <v>264</v>
      </c>
      <c r="BN37" s="552">
        <f t="shared" si="47"/>
        <v>0</v>
      </c>
      <c r="BO37" s="552">
        <f t="shared" si="47"/>
        <v>0</v>
      </c>
      <c r="BP37" s="552">
        <f t="shared" si="47"/>
        <v>0</v>
      </c>
      <c r="BQ37" s="552">
        <f t="shared" si="47"/>
        <v>0</v>
      </c>
      <c r="BR37" s="552">
        <f t="shared" si="47"/>
        <v>0</v>
      </c>
      <c r="BS37" s="552">
        <f t="shared" si="47"/>
        <v>0</v>
      </c>
      <c r="BT37" s="552">
        <f t="shared" si="47"/>
        <v>0</v>
      </c>
      <c r="BU37" s="552">
        <f t="shared" si="47"/>
        <v>0</v>
      </c>
      <c r="BV37" s="552">
        <f t="shared" si="47"/>
        <v>0</v>
      </c>
      <c r="BW37" s="552">
        <f t="shared" si="47"/>
        <v>0</v>
      </c>
      <c r="BX37" s="552">
        <f t="shared" si="47"/>
        <v>0</v>
      </c>
      <c r="BY37" s="552">
        <f t="shared" si="47"/>
        <v>0</v>
      </c>
      <c r="BZ37" s="552">
        <f t="shared" si="47"/>
        <v>0</v>
      </c>
      <c r="CA37" s="552">
        <f t="shared" si="47"/>
        <v>0</v>
      </c>
      <c r="CB37" s="552">
        <f t="shared" si="47"/>
        <v>0</v>
      </c>
      <c r="CC37" s="552">
        <f t="shared" si="47"/>
        <v>0</v>
      </c>
      <c r="CD37" s="301"/>
      <c r="CE37" s="301"/>
    </row>
    <row r="38" spans="1:83" s="121" customFormat="1" x14ac:dyDescent="0.2">
      <c r="A38" s="500" t="s">
        <v>181</v>
      </c>
      <c r="B38" s="747" t="s">
        <v>180</v>
      </c>
      <c r="C38" s="747"/>
      <c r="D38" s="301"/>
      <c r="E38" s="301"/>
      <c r="F38" s="301"/>
      <c r="G38" s="301"/>
      <c r="H38" s="301"/>
      <c r="I38" s="302">
        <v>804</v>
      </c>
      <c r="J38" s="302">
        <v>536</v>
      </c>
      <c r="K38" s="145">
        <f t="shared" ref="K38:AH38" si="48">SUM(K39:K46)</f>
        <v>1047</v>
      </c>
      <c r="L38" s="145">
        <f t="shared" si="48"/>
        <v>698</v>
      </c>
      <c r="M38" s="145">
        <f t="shared" si="48"/>
        <v>590</v>
      </c>
      <c r="N38" s="145">
        <f t="shared" si="48"/>
        <v>108</v>
      </c>
      <c r="O38" s="145">
        <f t="shared" si="48"/>
        <v>0</v>
      </c>
      <c r="P38" s="145">
        <f t="shared" si="48"/>
        <v>0</v>
      </c>
      <c r="Q38" s="145">
        <f t="shared" si="48"/>
        <v>349</v>
      </c>
      <c r="R38" s="145">
        <f t="shared" si="48"/>
        <v>0</v>
      </c>
      <c r="S38" s="145">
        <f t="shared" si="48"/>
        <v>0</v>
      </c>
      <c r="T38" s="145">
        <f t="shared" si="48"/>
        <v>0</v>
      </c>
      <c r="U38" s="145">
        <f t="shared" si="48"/>
        <v>0</v>
      </c>
      <c r="V38" s="145">
        <f t="shared" si="48"/>
        <v>0</v>
      </c>
      <c r="W38" s="145">
        <f t="shared" si="48"/>
        <v>0</v>
      </c>
      <c r="X38" s="145">
        <f t="shared" si="48"/>
        <v>0</v>
      </c>
      <c r="Y38" s="145">
        <f t="shared" si="48"/>
        <v>0</v>
      </c>
      <c r="Z38" s="145">
        <f t="shared" si="48"/>
        <v>0</v>
      </c>
      <c r="AA38" s="145">
        <f t="shared" si="48"/>
        <v>0</v>
      </c>
      <c r="AB38" s="145">
        <f t="shared" si="48"/>
        <v>0</v>
      </c>
      <c r="AC38" s="145">
        <f t="shared" si="48"/>
        <v>0</v>
      </c>
      <c r="AD38" s="145">
        <f t="shared" si="48"/>
        <v>318</v>
      </c>
      <c r="AE38" s="145">
        <f t="shared" si="48"/>
        <v>168</v>
      </c>
      <c r="AF38" s="145">
        <f t="shared" si="48"/>
        <v>40</v>
      </c>
      <c r="AG38" s="145">
        <f t="shared" si="48"/>
        <v>0</v>
      </c>
      <c r="AH38" s="145">
        <f t="shared" si="48"/>
        <v>0</v>
      </c>
      <c r="AI38" s="145">
        <f t="shared" ref="AI38:BF38" si="49">SUM(AI39:AI46)</f>
        <v>110</v>
      </c>
      <c r="AJ38" s="145">
        <f t="shared" si="49"/>
        <v>625</v>
      </c>
      <c r="AK38" s="145">
        <f t="shared" si="49"/>
        <v>372</v>
      </c>
      <c r="AL38" s="145">
        <f t="shared" si="49"/>
        <v>46</v>
      </c>
      <c r="AM38" s="145">
        <f t="shared" si="49"/>
        <v>0</v>
      </c>
      <c r="AN38" s="145">
        <f t="shared" si="49"/>
        <v>0</v>
      </c>
      <c r="AO38" s="145">
        <f t="shared" si="49"/>
        <v>207</v>
      </c>
      <c r="AP38" s="145">
        <f t="shared" si="49"/>
        <v>104</v>
      </c>
      <c r="AQ38" s="145">
        <f t="shared" si="49"/>
        <v>50</v>
      </c>
      <c r="AR38" s="145">
        <f t="shared" si="49"/>
        <v>22</v>
      </c>
      <c r="AS38" s="145">
        <f t="shared" si="49"/>
        <v>0</v>
      </c>
      <c r="AT38" s="145">
        <f t="shared" si="49"/>
        <v>0</v>
      </c>
      <c r="AU38" s="145">
        <f t="shared" si="49"/>
        <v>32</v>
      </c>
      <c r="AV38" s="145">
        <f t="shared" si="49"/>
        <v>0</v>
      </c>
      <c r="AW38" s="145">
        <f t="shared" si="49"/>
        <v>0</v>
      </c>
      <c r="AX38" s="145">
        <f t="shared" si="49"/>
        <v>0</v>
      </c>
      <c r="AY38" s="145">
        <f t="shared" si="49"/>
        <v>0</v>
      </c>
      <c r="AZ38" s="145">
        <f t="shared" si="49"/>
        <v>0</v>
      </c>
      <c r="BA38" s="145">
        <f t="shared" si="49"/>
        <v>0</v>
      </c>
      <c r="BB38" s="145">
        <f t="shared" si="49"/>
        <v>0</v>
      </c>
      <c r="BC38" s="145">
        <f t="shared" si="49"/>
        <v>0</v>
      </c>
      <c r="BD38" s="145">
        <f t="shared" si="49"/>
        <v>0</v>
      </c>
      <c r="BE38" s="145">
        <f t="shared" si="49"/>
        <v>0</v>
      </c>
      <c r="BF38" s="145">
        <f t="shared" si="49"/>
        <v>0</v>
      </c>
      <c r="BG38" s="145">
        <f t="shared" ref="BG38:CC38" si="50">SUM(BG39:BG46)</f>
        <v>0</v>
      </c>
      <c r="BH38" s="145">
        <f t="shared" si="50"/>
        <v>0</v>
      </c>
      <c r="BI38" s="145">
        <f t="shared" si="50"/>
        <v>0</v>
      </c>
      <c r="BJ38" s="145">
        <f t="shared" si="50"/>
        <v>0</v>
      </c>
      <c r="BK38" s="145">
        <f t="shared" si="50"/>
        <v>0</v>
      </c>
      <c r="BL38" s="145">
        <f t="shared" si="50"/>
        <v>0</v>
      </c>
      <c r="BM38" s="145">
        <f t="shared" si="50"/>
        <v>0</v>
      </c>
      <c r="BN38" s="145">
        <f t="shared" si="50"/>
        <v>0</v>
      </c>
      <c r="BO38" s="145">
        <f t="shared" si="50"/>
        <v>0</v>
      </c>
      <c r="BP38" s="145">
        <f t="shared" si="50"/>
        <v>0</v>
      </c>
      <c r="BQ38" s="145">
        <f t="shared" si="50"/>
        <v>0</v>
      </c>
      <c r="BR38" s="145">
        <f t="shared" si="50"/>
        <v>0</v>
      </c>
      <c r="BS38" s="145">
        <f t="shared" si="50"/>
        <v>0</v>
      </c>
      <c r="BT38" s="145">
        <f t="shared" si="50"/>
        <v>0</v>
      </c>
      <c r="BU38" s="145">
        <f t="shared" si="50"/>
        <v>0</v>
      </c>
      <c r="BV38" s="145">
        <f t="shared" si="50"/>
        <v>0</v>
      </c>
      <c r="BW38" s="145">
        <f t="shared" si="50"/>
        <v>0</v>
      </c>
      <c r="BX38" s="145">
        <f t="shared" si="50"/>
        <v>0</v>
      </c>
      <c r="BY38" s="145">
        <f t="shared" si="50"/>
        <v>0</v>
      </c>
      <c r="BZ38" s="145">
        <f t="shared" si="50"/>
        <v>0</v>
      </c>
      <c r="CA38" s="145">
        <f t="shared" si="50"/>
        <v>0</v>
      </c>
      <c r="CB38" s="145">
        <f t="shared" si="50"/>
        <v>0</v>
      </c>
      <c r="CC38" s="145">
        <f t="shared" si="50"/>
        <v>0</v>
      </c>
      <c r="CD38" s="301"/>
      <c r="CE38" s="301"/>
    </row>
    <row r="39" spans="1:83" s="142" customFormat="1" ht="25.5" x14ac:dyDescent="0.2">
      <c r="A39" s="584" t="s">
        <v>182</v>
      </c>
      <c r="B39" s="143" t="s">
        <v>183</v>
      </c>
      <c r="C39" s="134"/>
      <c r="D39" s="135"/>
      <c r="E39" s="135" t="s">
        <v>39</v>
      </c>
      <c r="F39" s="135"/>
      <c r="G39" s="135"/>
      <c r="H39" s="135" t="s">
        <v>30</v>
      </c>
      <c r="I39" s="164"/>
      <c r="J39" s="139"/>
      <c r="K39" s="138">
        <f t="shared" ref="K39:K46" si="51">L39+SUM(Q39:Q39)</f>
        <v>106</v>
      </c>
      <c r="L39" s="138">
        <f t="shared" ref="L39:L46" si="52">SUM(M39:P39)</f>
        <v>70</v>
      </c>
      <c r="M39" s="138">
        <f t="shared" ref="M39:P41" si="53">S39+Y39+AE39+AK39+AQ39+AW39+BC39+BI39+BP39+BX39</f>
        <v>0</v>
      </c>
      <c r="N39" s="138">
        <f t="shared" si="53"/>
        <v>70</v>
      </c>
      <c r="O39" s="138">
        <f t="shared" si="53"/>
        <v>0</v>
      </c>
      <c r="P39" s="138">
        <f t="shared" si="53"/>
        <v>0</v>
      </c>
      <c r="Q39" s="138">
        <f t="shared" ref="Q39:Q46" si="54">W39+AC39+AI39+AO39+AU39+BA39+BG39+BM39+BU39+CC39</f>
        <v>36</v>
      </c>
      <c r="R39" s="253">
        <f t="shared" ref="R39:R46" si="55">SUM(S39:W39)</f>
        <v>0</v>
      </c>
      <c r="S39" s="139"/>
      <c r="T39" s="139"/>
      <c r="U39" s="139"/>
      <c r="V39" s="139"/>
      <c r="W39" s="139"/>
      <c r="X39" s="253">
        <f t="shared" ref="X39:X46" si="56">SUM(Y39:AC39)</f>
        <v>0</v>
      </c>
      <c r="Y39" s="139"/>
      <c r="Z39" s="139"/>
      <c r="AA39" s="139"/>
      <c r="AB39" s="139"/>
      <c r="AC39" s="139"/>
      <c r="AD39" s="253">
        <f t="shared" ref="AD39:AD46" si="57">SUM(AE39:AI39)</f>
        <v>50</v>
      </c>
      <c r="AE39" s="139"/>
      <c r="AF39" s="139">
        <v>32</v>
      </c>
      <c r="AG39" s="139"/>
      <c r="AH39" s="139"/>
      <c r="AI39" s="139">
        <v>18</v>
      </c>
      <c r="AJ39" s="253">
        <f t="shared" ref="AJ39:AJ46" si="58">SUM(AK39:AO39)</f>
        <v>56</v>
      </c>
      <c r="AK39" s="139"/>
      <c r="AL39" s="139">
        <v>38</v>
      </c>
      <c r="AM39" s="139"/>
      <c r="AN39" s="139"/>
      <c r="AO39" s="139">
        <v>18</v>
      </c>
      <c r="AP39" s="253">
        <f t="shared" ref="AP39:AP46" si="59">SUM(AQ39:AU39)</f>
        <v>0</v>
      </c>
      <c r="AQ39" s="139"/>
      <c r="AR39" s="139"/>
      <c r="AS39" s="139"/>
      <c r="AT39" s="139"/>
      <c r="AU39" s="139"/>
      <c r="AV39" s="253">
        <f t="shared" ref="AV39:AV46" si="60">SUM(AW39:BA39)</f>
        <v>0</v>
      </c>
      <c r="AW39" s="139"/>
      <c r="AX39" s="139"/>
      <c r="AY39" s="139"/>
      <c r="AZ39" s="139"/>
      <c r="BA39" s="139"/>
      <c r="BB39" s="253">
        <f t="shared" ref="BB39:BB46" si="61">SUM(BC39:BG39)</f>
        <v>0</v>
      </c>
      <c r="BC39" s="139"/>
      <c r="BD39" s="139"/>
      <c r="BE39" s="139"/>
      <c r="BF39" s="139"/>
      <c r="BG39" s="139"/>
      <c r="BH39" s="253">
        <f t="shared" ref="BH39:BH46" si="62">SUM(BI39:BM39)</f>
        <v>0</v>
      </c>
      <c r="BI39" s="139"/>
      <c r="BJ39" s="139"/>
      <c r="BK39" s="139"/>
      <c r="BL39" s="139"/>
      <c r="BM39" s="139"/>
      <c r="BN39" s="253">
        <f>SUM(BO39:BU39)</f>
        <v>0</v>
      </c>
      <c r="BO39" s="139"/>
      <c r="BP39" s="139"/>
      <c r="BQ39" s="139"/>
      <c r="BR39" s="139"/>
      <c r="BS39" s="139"/>
      <c r="BT39" s="139"/>
      <c r="BU39" s="139"/>
      <c r="BV39" s="253">
        <f>SUM(BW39:CC39)</f>
        <v>0</v>
      </c>
      <c r="BW39" s="139"/>
      <c r="BX39" s="139"/>
      <c r="BY39" s="139"/>
      <c r="BZ39" s="139"/>
      <c r="CA39" s="139"/>
      <c r="CB39" s="139"/>
      <c r="CC39" s="139"/>
      <c r="CD39" s="135" t="s">
        <v>512</v>
      </c>
      <c r="CE39" s="556" t="s">
        <v>368</v>
      </c>
    </row>
    <row r="40" spans="1:83" s="142" customFormat="1" ht="25.5" x14ac:dyDescent="0.2">
      <c r="A40" s="584" t="s">
        <v>184</v>
      </c>
      <c r="B40" s="143" t="s">
        <v>335</v>
      </c>
      <c r="C40" s="134"/>
      <c r="D40" s="135" t="s">
        <v>39</v>
      </c>
      <c r="E40" s="135"/>
      <c r="F40" s="135"/>
      <c r="G40" s="135"/>
      <c r="H40" s="135" t="s">
        <v>30</v>
      </c>
      <c r="I40" s="139"/>
      <c r="J40" s="139"/>
      <c r="K40" s="138">
        <f t="shared" si="51"/>
        <v>268</v>
      </c>
      <c r="L40" s="138">
        <f t="shared" si="52"/>
        <v>178</v>
      </c>
      <c r="M40" s="138">
        <f t="shared" si="53"/>
        <v>178</v>
      </c>
      <c r="N40" s="138">
        <f t="shared" si="53"/>
        <v>0</v>
      </c>
      <c r="O40" s="138">
        <f t="shared" si="53"/>
        <v>0</v>
      </c>
      <c r="P40" s="138">
        <f t="shared" si="53"/>
        <v>0</v>
      </c>
      <c r="Q40" s="138">
        <f t="shared" si="54"/>
        <v>90</v>
      </c>
      <c r="R40" s="253">
        <f t="shared" si="55"/>
        <v>0</v>
      </c>
      <c r="S40" s="139"/>
      <c r="T40" s="139"/>
      <c r="U40" s="139"/>
      <c r="V40" s="139"/>
      <c r="W40" s="139"/>
      <c r="X40" s="253">
        <f t="shared" si="56"/>
        <v>0</v>
      </c>
      <c r="Y40" s="139"/>
      <c r="Z40" s="139"/>
      <c r="AA40" s="139"/>
      <c r="AB40" s="139"/>
      <c r="AC40" s="139"/>
      <c r="AD40" s="253">
        <f t="shared" si="57"/>
        <v>98</v>
      </c>
      <c r="AE40" s="139">
        <v>64</v>
      </c>
      <c r="AF40" s="139"/>
      <c r="AG40" s="139"/>
      <c r="AH40" s="139"/>
      <c r="AI40" s="139">
        <v>34</v>
      </c>
      <c r="AJ40" s="253">
        <f t="shared" si="58"/>
        <v>170</v>
      </c>
      <c r="AK40" s="164">
        <v>114</v>
      </c>
      <c r="AL40" s="139"/>
      <c r="AM40" s="139"/>
      <c r="AN40" s="139"/>
      <c r="AO40" s="139">
        <v>56</v>
      </c>
      <c r="AP40" s="253">
        <f t="shared" si="59"/>
        <v>0</v>
      </c>
      <c r="AQ40" s="139"/>
      <c r="AR40" s="139"/>
      <c r="AS40" s="139"/>
      <c r="AT40" s="139"/>
      <c r="AU40" s="139"/>
      <c r="AV40" s="253">
        <f t="shared" si="60"/>
        <v>0</v>
      </c>
      <c r="AW40" s="139"/>
      <c r="AX40" s="139"/>
      <c r="AY40" s="139"/>
      <c r="AZ40" s="139"/>
      <c r="BA40" s="139"/>
      <c r="BB40" s="253">
        <f t="shared" si="61"/>
        <v>0</v>
      </c>
      <c r="BC40" s="139"/>
      <c r="BD40" s="139"/>
      <c r="BE40" s="139"/>
      <c r="BF40" s="139"/>
      <c r="BG40" s="139"/>
      <c r="BH40" s="253">
        <f t="shared" si="62"/>
        <v>0</v>
      </c>
      <c r="BI40" s="139"/>
      <c r="BJ40" s="139"/>
      <c r="BK40" s="139"/>
      <c r="BL40" s="139"/>
      <c r="BM40" s="139"/>
      <c r="BN40" s="253">
        <f t="shared" ref="BN40:BN45" si="63">SUM(BO40:BU40)</f>
        <v>0</v>
      </c>
      <c r="BO40" s="139"/>
      <c r="BP40" s="139"/>
      <c r="BQ40" s="139"/>
      <c r="BR40" s="139"/>
      <c r="BS40" s="139"/>
      <c r="BT40" s="139"/>
      <c r="BU40" s="139"/>
      <c r="BV40" s="253">
        <f t="shared" ref="BV40:BV45" si="64">SUM(BW40:CC40)</f>
        <v>0</v>
      </c>
      <c r="BW40" s="139"/>
      <c r="BX40" s="139"/>
      <c r="BY40" s="139"/>
      <c r="BZ40" s="139"/>
      <c r="CA40" s="139"/>
      <c r="CB40" s="139"/>
      <c r="CC40" s="139"/>
      <c r="CD40" s="135" t="s">
        <v>512</v>
      </c>
      <c r="CE40" s="139" t="s">
        <v>369</v>
      </c>
    </row>
    <row r="41" spans="1:83" s="142" customFormat="1" ht="25.5" x14ac:dyDescent="0.2">
      <c r="A41" s="584" t="s">
        <v>185</v>
      </c>
      <c r="B41" s="143" t="s">
        <v>186</v>
      </c>
      <c r="C41" s="134"/>
      <c r="D41" s="135"/>
      <c r="E41" s="135" t="s">
        <v>39</v>
      </c>
      <c r="F41" s="135"/>
      <c r="G41" s="135"/>
      <c r="H41" s="135" t="s">
        <v>30</v>
      </c>
      <c r="I41" s="139"/>
      <c r="J41" s="139"/>
      <c r="K41" s="138">
        <f t="shared" si="51"/>
        <v>105</v>
      </c>
      <c r="L41" s="138">
        <f t="shared" si="52"/>
        <v>70</v>
      </c>
      <c r="M41" s="138">
        <f t="shared" si="53"/>
        <v>54</v>
      </c>
      <c r="N41" s="138">
        <f t="shared" si="53"/>
        <v>16</v>
      </c>
      <c r="O41" s="138">
        <f t="shared" si="53"/>
        <v>0</v>
      </c>
      <c r="P41" s="138">
        <f t="shared" si="53"/>
        <v>0</v>
      </c>
      <c r="Q41" s="138">
        <f t="shared" si="54"/>
        <v>35</v>
      </c>
      <c r="R41" s="253">
        <f t="shared" si="55"/>
        <v>0</v>
      </c>
      <c r="S41" s="139"/>
      <c r="T41" s="139"/>
      <c r="U41" s="139"/>
      <c r="V41" s="139"/>
      <c r="W41" s="139"/>
      <c r="X41" s="253">
        <f t="shared" si="56"/>
        <v>0</v>
      </c>
      <c r="Y41" s="139"/>
      <c r="Z41" s="139"/>
      <c r="AA41" s="139"/>
      <c r="AB41" s="139"/>
      <c r="AC41" s="139"/>
      <c r="AD41" s="253">
        <f t="shared" si="57"/>
        <v>48</v>
      </c>
      <c r="AE41" s="164">
        <v>24</v>
      </c>
      <c r="AF41" s="164">
        <v>8</v>
      </c>
      <c r="AG41" s="164"/>
      <c r="AH41" s="164"/>
      <c r="AI41" s="139">
        <v>16</v>
      </c>
      <c r="AJ41" s="253">
        <f t="shared" si="58"/>
        <v>57</v>
      </c>
      <c r="AK41" s="164">
        <v>30</v>
      </c>
      <c r="AL41" s="164">
        <v>8</v>
      </c>
      <c r="AM41" s="139"/>
      <c r="AN41" s="139"/>
      <c r="AO41" s="139">
        <v>19</v>
      </c>
      <c r="AP41" s="253">
        <f t="shared" si="59"/>
        <v>0</v>
      </c>
      <c r="AQ41" s="139"/>
      <c r="AR41" s="139"/>
      <c r="AS41" s="139"/>
      <c r="AT41" s="139"/>
      <c r="AU41" s="139"/>
      <c r="AV41" s="253">
        <f t="shared" si="60"/>
        <v>0</v>
      </c>
      <c r="AW41" s="139"/>
      <c r="AX41" s="139"/>
      <c r="AY41" s="139"/>
      <c r="AZ41" s="139"/>
      <c r="BA41" s="139"/>
      <c r="BB41" s="253">
        <f t="shared" si="61"/>
        <v>0</v>
      </c>
      <c r="BC41" s="139"/>
      <c r="BD41" s="139"/>
      <c r="BE41" s="139"/>
      <c r="BF41" s="139"/>
      <c r="BG41" s="139"/>
      <c r="BH41" s="253">
        <f t="shared" si="62"/>
        <v>0</v>
      </c>
      <c r="BI41" s="139"/>
      <c r="BJ41" s="139"/>
      <c r="BK41" s="139"/>
      <c r="BL41" s="139"/>
      <c r="BM41" s="139"/>
      <c r="BN41" s="253">
        <f t="shared" si="63"/>
        <v>0</v>
      </c>
      <c r="BO41" s="139"/>
      <c r="BP41" s="139"/>
      <c r="BQ41" s="139"/>
      <c r="BR41" s="139"/>
      <c r="BS41" s="139"/>
      <c r="BT41" s="139"/>
      <c r="BU41" s="139"/>
      <c r="BV41" s="253">
        <f t="shared" si="64"/>
        <v>0</v>
      </c>
      <c r="BW41" s="139"/>
      <c r="BX41" s="139"/>
      <c r="BY41" s="139"/>
      <c r="BZ41" s="139"/>
      <c r="CA41" s="139"/>
      <c r="CB41" s="139"/>
      <c r="CC41" s="139"/>
      <c r="CD41" s="135" t="s">
        <v>513</v>
      </c>
      <c r="CE41" s="139" t="s">
        <v>370</v>
      </c>
    </row>
    <row r="42" spans="1:83" s="142" customFormat="1" ht="25.5" x14ac:dyDescent="0.2">
      <c r="A42" s="584" t="s">
        <v>187</v>
      </c>
      <c r="B42" s="143" t="s">
        <v>293</v>
      </c>
      <c r="C42" s="134"/>
      <c r="D42" s="135"/>
      <c r="E42" s="135" t="s">
        <v>39</v>
      </c>
      <c r="F42" s="135"/>
      <c r="G42" s="135"/>
      <c r="H42" s="135"/>
      <c r="I42" s="139"/>
      <c r="J42" s="139"/>
      <c r="K42" s="138">
        <f t="shared" si="51"/>
        <v>114</v>
      </c>
      <c r="L42" s="138">
        <f t="shared" si="52"/>
        <v>76</v>
      </c>
      <c r="M42" s="138">
        <f t="shared" ref="M42:O46" si="65">S42+Y42+AE42+AK42+AQ42+AW42+BC42+BI42+BP42+BX42</f>
        <v>76</v>
      </c>
      <c r="N42" s="138">
        <f t="shared" si="65"/>
        <v>0</v>
      </c>
      <c r="O42" s="138">
        <f t="shared" si="65"/>
        <v>0</v>
      </c>
      <c r="P42" s="138"/>
      <c r="Q42" s="138">
        <f t="shared" si="54"/>
        <v>38</v>
      </c>
      <c r="R42" s="253">
        <f t="shared" si="55"/>
        <v>0</v>
      </c>
      <c r="S42" s="139"/>
      <c r="T42" s="139"/>
      <c r="U42" s="139"/>
      <c r="V42" s="139"/>
      <c r="W42" s="139"/>
      <c r="X42" s="253">
        <f t="shared" si="56"/>
        <v>0</v>
      </c>
      <c r="Y42" s="139"/>
      <c r="Z42" s="139"/>
      <c r="AA42" s="139"/>
      <c r="AB42" s="139"/>
      <c r="AC42" s="139"/>
      <c r="AD42" s="253">
        <f t="shared" si="57"/>
        <v>0</v>
      </c>
      <c r="AE42" s="139"/>
      <c r="AF42" s="139"/>
      <c r="AG42" s="139"/>
      <c r="AH42" s="139"/>
      <c r="AI42" s="139"/>
      <c r="AJ42" s="253">
        <f t="shared" si="58"/>
        <v>114</v>
      </c>
      <c r="AK42" s="164">
        <v>76</v>
      </c>
      <c r="AL42" s="164"/>
      <c r="AM42" s="139"/>
      <c r="AN42" s="139"/>
      <c r="AO42" s="139">
        <v>38</v>
      </c>
      <c r="AP42" s="253">
        <f t="shared" si="59"/>
        <v>0</v>
      </c>
      <c r="AQ42" s="139"/>
      <c r="AR42" s="139"/>
      <c r="AS42" s="139"/>
      <c r="AT42" s="139"/>
      <c r="AU42" s="139"/>
      <c r="AV42" s="253">
        <f t="shared" si="60"/>
        <v>0</v>
      </c>
      <c r="AW42" s="139"/>
      <c r="AX42" s="139"/>
      <c r="AY42" s="139"/>
      <c r="AZ42" s="139"/>
      <c r="BA42" s="139"/>
      <c r="BB42" s="253">
        <f t="shared" si="61"/>
        <v>0</v>
      </c>
      <c r="BC42" s="139"/>
      <c r="BD42" s="139"/>
      <c r="BE42" s="139"/>
      <c r="BF42" s="139"/>
      <c r="BG42" s="139"/>
      <c r="BH42" s="253">
        <f t="shared" si="62"/>
        <v>0</v>
      </c>
      <c r="BI42" s="139"/>
      <c r="BJ42" s="139"/>
      <c r="BK42" s="139"/>
      <c r="BL42" s="139"/>
      <c r="BM42" s="139"/>
      <c r="BN42" s="253">
        <f t="shared" si="63"/>
        <v>0</v>
      </c>
      <c r="BO42" s="139"/>
      <c r="BP42" s="139"/>
      <c r="BQ42" s="139"/>
      <c r="BR42" s="139"/>
      <c r="BS42" s="139"/>
      <c r="BT42" s="139"/>
      <c r="BU42" s="139"/>
      <c r="BV42" s="253">
        <f t="shared" si="64"/>
        <v>0</v>
      </c>
      <c r="BW42" s="139"/>
      <c r="BX42" s="139"/>
      <c r="BY42" s="139"/>
      <c r="BZ42" s="139"/>
      <c r="CA42" s="139"/>
      <c r="CB42" s="139"/>
      <c r="CC42" s="139"/>
      <c r="CD42" s="135" t="s">
        <v>512</v>
      </c>
      <c r="CE42" s="139" t="s">
        <v>370</v>
      </c>
    </row>
    <row r="43" spans="1:83" s="142" customFormat="1" ht="25.5" x14ac:dyDescent="0.2">
      <c r="A43" s="584" t="s">
        <v>188</v>
      </c>
      <c r="B43" s="143" t="s">
        <v>336</v>
      </c>
      <c r="C43" s="134"/>
      <c r="D43" s="135"/>
      <c r="E43" s="135" t="s">
        <v>39</v>
      </c>
      <c r="F43" s="135"/>
      <c r="G43" s="135"/>
      <c r="H43" s="135" t="s">
        <v>30</v>
      </c>
      <c r="I43" s="139"/>
      <c r="J43" s="139"/>
      <c r="K43" s="138">
        <f t="shared" si="51"/>
        <v>105</v>
      </c>
      <c r="L43" s="138">
        <f t="shared" si="52"/>
        <v>70</v>
      </c>
      <c r="M43" s="138">
        <f t="shared" si="65"/>
        <v>70</v>
      </c>
      <c r="N43" s="138">
        <f t="shared" si="65"/>
        <v>0</v>
      </c>
      <c r="O43" s="138">
        <f t="shared" si="65"/>
        <v>0</v>
      </c>
      <c r="P43" s="138">
        <f>V43+AB43+AH43+AN43+AT43+AZ43+BF43+BL43+BS43+CA43</f>
        <v>0</v>
      </c>
      <c r="Q43" s="138">
        <f t="shared" si="54"/>
        <v>35</v>
      </c>
      <c r="R43" s="253">
        <f t="shared" si="55"/>
        <v>0</v>
      </c>
      <c r="S43" s="139"/>
      <c r="T43" s="139"/>
      <c r="U43" s="139"/>
      <c r="V43" s="139"/>
      <c r="W43" s="139"/>
      <c r="X43" s="253">
        <f t="shared" si="56"/>
        <v>0</v>
      </c>
      <c r="Y43" s="139"/>
      <c r="Z43" s="139"/>
      <c r="AA43" s="139"/>
      <c r="AB43" s="139"/>
      <c r="AC43" s="139"/>
      <c r="AD43" s="253">
        <f t="shared" si="57"/>
        <v>48</v>
      </c>
      <c r="AE43" s="139">
        <v>32</v>
      </c>
      <c r="AF43" s="139"/>
      <c r="AG43" s="139"/>
      <c r="AH43" s="139"/>
      <c r="AI43" s="139">
        <v>16</v>
      </c>
      <c r="AJ43" s="253">
        <f t="shared" si="58"/>
        <v>57</v>
      </c>
      <c r="AK43" s="164">
        <v>38</v>
      </c>
      <c r="AL43" s="164"/>
      <c r="AM43" s="139"/>
      <c r="AN43" s="139"/>
      <c r="AO43" s="139">
        <v>19</v>
      </c>
      <c r="AP43" s="253">
        <f t="shared" si="59"/>
        <v>0</v>
      </c>
      <c r="AQ43" s="139"/>
      <c r="AR43" s="139"/>
      <c r="AS43" s="139"/>
      <c r="AT43" s="139"/>
      <c r="AU43" s="139"/>
      <c r="AV43" s="253">
        <f t="shared" si="60"/>
        <v>0</v>
      </c>
      <c r="AW43" s="139"/>
      <c r="AX43" s="139"/>
      <c r="AY43" s="139"/>
      <c r="AZ43" s="139"/>
      <c r="BA43" s="139"/>
      <c r="BB43" s="253">
        <f t="shared" si="61"/>
        <v>0</v>
      </c>
      <c r="BC43" s="139"/>
      <c r="BD43" s="139"/>
      <c r="BE43" s="139"/>
      <c r="BF43" s="139"/>
      <c r="BG43" s="139"/>
      <c r="BH43" s="253">
        <f t="shared" si="62"/>
        <v>0</v>
      </c>
      <c r="BI43" s="139"/>
      <c r="BJ43" s="139"/>
      <c r="BK43" s="139"/>
      <c r="BL43" s="139"/>
      <c r="BM43" s="139"/>
      <c r="BN43" s="253">
        <f t="shared" si="63"/>
        <v>0</v>
      </c>
      <c r="BO43" s="139"/>
      <c r="BP43" s="139"/>
      <c r="BQ43" s="139"/>
      <c r="BR43" s="139"/>
      <c r="BS43" s="139"/>
      <c r="BT43" s="139"/>
      <c r="BU43" s="139"/>
      <c r="BV43" s="253">
        <f t="shared" si="64"/>
        <v>0</v>
      </c>
      <c r="BW43" s="139"/>
      <c r="BX43" s="139"/>
      <c r="BY43" s="139"/>
      <c r="BZ43" s="139"/>
      <c r="CA43" s="139"/>
      <c r="CB43" s="139"/>
      <c r="CC43" s="139"/>
      <c r="CD43" s="135" t="s">
        <v>512</v>
      </c>
      <c r="CE43" s="139" t="s">
        <v>370</v>
      </c>
    </row>
    <row r="44" spans="1:83" s="142" customFormat="1" ht="25.5" x14ac:dyDescent="0.2">
      <c r="A44" s="584" t="s">
        <v>189</v>
      </c>
      <c r="B44" s="143" t="s">
        <v>288</v>
      </c>
      <c r="C44" s="134"/>
      <c r="D44" s="135" t="s">
        <v>39</v>
      </c>
      <c r="E44" s="135"/>
      <c r="F44" s="135"/>
      <c r="G44" s="135"/>
      <c r="H44" s="135" t="s">
        <v>30</v>
      </c>
      <c r="I44" s="139"/>
      <c r="J44" s="139"/>
      <c r="K44" s="138">
        <f t="shared" si="51"/>
        <v>131</v>
      </c>
      <c r="L44" s="138">
        <f t="shared" si="52"/>
        <v>86</v>
      </c>
      <c r="M44" s="138">
        <f t="shared" si="65"/>
        <v>86</v>
      </c>
      <c r="N44" s="138">
        <f t="shared" si="65"/>
        <v>0</v>
      </c>
      <c r="O44" s="138">
        <f t="shared" si="65"/>
        <v>0</v>
      </c>
      <c r="P44" s="138">
        <f>V44+AB44+AH44+AN44+AT44+AZ44+BF44+BL44+BS44+CA44</f>
        <v>0</v>
      </c>
      <c r="Q44" s="138">
        <f t="shared" si="54"/>
        <v>45</v>
      </c>
      <c r="R44" s="253">
        <f t="shared" si="55"/>
        <v>0</v>
      </c>
      <c r="S44" s="139"/>
      <c r="T44" s="139"/>
      <c r="U44" s="139"/>
      <c r="V44" s="139"/>
      <c r="W44" s="139"/>
      <c r="X44" s="253">
        <f t="shared" si="56"/>
        <v>0</v>
      </c>
      <c r="Y44" s="139"/>
      <c r="Z44" s="139"/>
      <c r="AA44" s="139"/>
      <c r="AB44" s="139"/>
      <c r="AC44" s="139"/>
      <c r="AD44" s="253">
        <f t="shared" si="57"/>
        <v>74</v>
      </c>
      <c r="AE44" s="139">
        <v>48</v>
      </c>
      <c r="AF44" s="139"/>
      <c r="AG44" s="139"/>
      <c r="AH44" s="139"/>
      <c r="AI44" s="139">
        <v>26</v>
      </c>
      <c r="AJ44" s="253">
        <f t="shared" si="58"/>
        <v>57</v>
      </c>
      <c r="AK44" s="164">
        <v>38</v>
      </c>
      <c r="AL44" s="164"/>
      <c r="AM44" s="139"/>
      <c r="AN44" s="139"/>
      <c r="AO44" s="139">
        <v>19</v>
      </c>
      <c r="AP44" s="253">
        <f t="shared" si="59"/>
        <v>0</v>
      </c>
      <c r="AQ44" s="139"/>
      <c r="AR44" s="139"/>
      <c r="AS44" s="139"/>
      <c r="AT44" s="139"/>
      <c r="AU44" s="139"/>
      <c r="AV44" s="253">
        <f t="shared" si="60"/>
        <v>0</v>
      </c>
      <c r="AW44" s="139"/>
      <c r="AX44" s="139"/>
      <c r="AY44" s="139"/>
      <c r="AZ44" s="139"/>
      <c r="BA44" s="139"/>
      <c r="BB44" s="253">
        <f t="shared" si="61"/>
        <v>0</v>
      </c>
      <c r="BC44" s="139"/>
      <c r="BD44" s="139"/>
      <c r="BE44" s="139"/>
      <c r="BF44" s="139"/>
      <c r="BG44" s="139"/>
      <c r="BH44" s="253">
        <f t="shared" si="62"/>
        <v>0</v>
      </c>
      <c r="BI44" s="139"/>
      <c r="BJ44" s="139"/>
      <c r="BK44" s="139"/>
      <c r="BL44" s="139"/>
      <c r="BM44" s="139"/>
      <c r="BN44" s="253">
        <f t="shared" si="63"/>
        <v>0</v>
      </c>
      <c r="BO44" s="139"/>
      <c r="BP44" s="139"/>
      <c r="BQ44" s="139"/>
      <c r="BR44" s="139"/>
      <c r="BS44" s="139"/>
      <c r="BT44" s="139"/>
      <c r="BU44" s="139"/>
      <c r="BV44" s="253">
        <f t="shared" si="64"/>
        <v>0</v>
      </c>
      <c r="BW44" s="139"/>
      <c r="BX44" s="139"/>
      <c r="BY44" s="139"/>
      <c r="BZ44" s="139"/>
      <c r="CA44" s="139"/>
      <c r="CB44" s="139"/>
      <c r="CC44" s="139"/>
      <c r="CD44" s="135" t="s">
        <v>514</v>
      </c>
      <c r="CE44" s="139" t="s">
        <v>370</v>
      </c>
    </row>
    <row r="45" spans="1:83" s="142" customFormat="1" ht="45.75" customHeight="1" x14ac:dyDescent="0.2">
      <c r="A45" s="584" t="s">
        <v>190</v>
      </c>
      <c r="B45" s="143" t="s">
        <v>296</v>
      </c>
      <c r="C45" s="134"/>
      <c r="D45" s="135" t="s">
        <v>40</v>
      </c>
      <c r="E45" s="135"/>
      <c r="F45" s="135"/>
      <c r="G45" s="135"/>
      <c r="H45" s="144" t="s">
        <v>39</v>
      </c>
      <c r="I45" s="139"/>
      <c r="J45" s="139"/>
      <c r="K45" s="138">
        <f t="shared" si="51"/>
        <v>110</v>
      </c>
      <c r="L45" s="138">
        <f t="shared" si="52"/>
        <v>74</v>
      </c>
      <c r="M45" s="138">
        <f t="shared" si="65"/>
        <v>52</v>
      </c>
      <c r="N45" s="138">
        <f t="shared" si="65"/>
        <v>22</v>
      </c>
      <c r="O45" s="138">
        <f t="shared" si="65"/>
        <v>0</v>
      </c>
      <c r="P45" s="138">
        <f>V45+AB45+AH45+AN45+AT45+AZ45+BF45+BL45+BS45+CA45</f>
        <v>0</v>
      </c>
      <c r="Q45" s="138">
        <f t="shared" si="54"/>
        <v>36</v>
      </c>
      <c r="R45" s="253">
        <f t="shared" si="55"/>
        <v>0</v>
      </c>
      <c r="S45" s="139"/>
      <c r="T45" s="139"/>
      <c r="U45" s="139"/>
      <c r="V45" s="139"/>
      <c r="W45" s="139"/>
      <c r="X45" s="253">
        <f t="shared" si="56"/>
        <v>0</v>
      </c>
      <c r="Y45" s="139"/>
      <c r="Z45" s="139"/>
      <c r="AA45" s="139"/>
      <c r="AB45" s="139"/>
      <c r="AC45" s="139"/>
      <c r="AD45" s="253">
        <f t="shared" si="57"/>
        <v>0</v>
      </c>
      <c r="AE45" s="139"/>
      <c r="AF45" s="139"/>
      <c r="AG45" s="139"/>
      <c r="AH45" s="139"/>
      <c r="AI45" s="139"/>
      <c r="AJ45" s="253">
        <f t="shared" si="58"/>
        <v>57</v>
      </c>
      <c r="AK45" s="164">
        <v>38</v>
      </c>
      <c r="AL45" s="164"/>
      <c r="AM45" s="139"/>
      <c r="AN45" s="139"/>
      <c r="AO45" s="139">
        <v>19</v>
      </c>
      <c r="AP45" s="253">
        <f t="shared" si="59"/>
        <v>53</v>
      </c>
      <c r="AQ45" s="139">
        <v>14</v>
      </c>
      <c r="AR45" s="139">
        <v>22</v>
      </c>
      <c r="AS45" s="139"/>
      <c r="AT45" s="139"/>
      <c r="AU45" s="139">
        <v>17</v>
      </c>
      <c r="AV45" s="253">
        <f t="shared" si="60"/>
        <v>0</v>
      </c>
      <c r="AW45" s="139"/>
      <c r="AX45" s="139"/>
      <c r="AY45" s="139"/>
      <c r="AZ45" s="139"/>
      <c r="BA45" s="139"/>
      <c r="BB45" s="253">
        <f t="shared" si="61"/>
        <v>0</v>
      </c>
      <c r="BC45" s="139"/>
      <c r="BD45" s="139"/>
      <c r="BE45" s="139"/>
      <c r="BF45" s="139"/>
      <c r="BG45" s="139"/>
      <c r="BH45" s="253">
        <f t="shared" si="62"/>
        <v>0</v>
      </c>
      <c r="BI45" s="139"/>
      <c r="BJ45" s="139"/>
      <c r="BK45" s="139"/>
      <c r="BL45" s="139"/>
      <c r="BM45" s="139"/>
      <c r="BN45" s="253">
        <f t="shared" si="63"/>
        <v>0</v>
      </c>
      <c r="BO45" s="139"/>
      <c r="BP45" s="139"/>
      <c r="BQ45" s="139"/>
      <c r="BR45" s="139"/>
      <c r="BS45" s="139"/>
      <c r="BT45" s="139"/>
      <c r="BU45" s="139"/>
      <c r="BV45" s="253">
        <f t="shared" si="64"/>
        <v>0</v>
      </c>
      <c r="BW45" s="139"/>
      <c r="BX45" s="139"/>
      <c r="BY45" s="139"/>
      <c r="BZ45" s="139"/>
      <c r="CA45" s="139"/>
      <c r="CB45" s="139"/>
      <c r="CC45" s="139"/>
      <c r="CD45" s="135" t="s">
        <v>515</v>
      </c>
      <c r="CE45" s="139" t="s">
        <v>371</v>
      </c>
    </row>
    <row r="46" spans="1:83" s="142" customFormat="1" ht="46.5" customHeight="1" x14ac:dyDescent="0.2">
      <c r="A46" s="584" t="s">
        <v>191</v>
      </c>
      <c r="B46" s="143" t="s">
        <v>133</v>
      </c>
      <c r="C46" s="134"/>
      <c r="D46" s="135"/>
      <c r="E46" s="135" t="s">
        <v>40</v>
      </c>
      <c r="F46" s="135"/>
      <c r="G46" s="135"/>
      <c r="H46" s="135" t="s">
        <v>39</v>
      </c>
      <c r="I46" s="139"/>
      <c r="J46" s="139">
        <v>68</v>
      </c>
      <c r="K46" s="138">
        <f t="shared" si="51"/>
        <v>108</v>
      </c>
      <c r="L46" s="138">
        <f t="shared" si="52"/>
        <v>74</v>
      </c>
      <c r="M46" s="138">
        <f t="shared" si="65"/>
        <v>74</v>
      </c>
      <c r="N46" s="138">
        <f t="shared" si="65"/>
        <v>0</v>
      </c>
      <c r="O46" s="138">
        <f t="shared" si="65"/>
        <v>0</v>
      </c>
      <c r="P46" s="138">
        <f>V46+AB46+AH46+AN46+AT46+AZ46+BF46+BL46+BS46+CA46</f>
        <v>0</v>
      </c>
      <c r="Q46" s="138">
        <f t="shared" si="54"/>
        <v>34</v>
      </c>
      <c r="R46" s="253">
        <f t="shared" si="55"/>
        <v>0</v>
      </c>
      <c r="S46" s="139"/>
      <c r="T46" s="139"/>
      <c r="U46" s="139"/>
      <c r="V46" s="139"/>
      <c r="W46" s="139"/>
      <c r="X46" s="253">
        <f t="shared" si="56"/>
        <v>0</v>
      </c>
      <c r="Y46" s="139"/>
      <c r="Z46" s="139"/>
      <c r="AA46" s="139"/>
      <c r="AB46" s="139"/>
      <c r="AC46" s="139"/>
      <c r="AD46" s="253">
        <f t="shared" si="57"/>
        <v>0</v>
      </c>
      <c r="AE46" s="139"/>
      <c r="AF46" s="139"/>
      <c r="AG46" s="139"/>
      <c r="AH46" s="139"/>
      <c r="AI46" s="139"/>
      <c r="AJ46" s="253">
        <f t="shared" si="58"/>
        <v>57</v>
      </c>
      <c r="AK46" s="139">
        <v>38</v>
      </c>
      <c r="AL46" s="139"/>
      <c r="AM46" s="139"/>
      <c r="AN46" s="139"/>
      <c r="AO46" s="139">
        <v>19</v>
      </c>
      <c r="AP46" s="253">
        <f t="shared" si="59"/>
        <v>51</v>
      </c>
      <c r="AQ46" s="139">
        <v>36</v>
      </c>
      <c r="AR46" s="139"/>
      <c r="AS46" s="139"/>
      <c r="AT46" s="139"/>
      <c r="AU46" s="139">
        <v>15</v>
      </c>
      <c r="AV46" s="253">
        <f t="shared" si="60"/>
        <v>0</v>
      </c>
      <c r="AW46" s="139"/>
      <c r="AX46" s="139"/>
      <c r="AY46" s="139"/>
      <c r="AZ46" s="139"/>
      <c r="BA46" s="139"/>
      <c r="BB46" s="253">
        <f t="shared" si="61"/>
        <v>0</v>
      </c>
      <c r="BC46" s="139"/>
      <c r="BD46" s="139"/>
      <c r="BE46" s="139"/>
      <c r="BF46" s="139"/>
      <c r="BG46" s="139"/>
      <c r="BH46" s="253">
        <f t="shared" si="62"/>
        <v>0</v>
      </c>
      <c r="BI46" s="139"/>
      <c r="BJ46" s="139"/>
      <c r="BK46" s="139"/>
      <c r="BL46" s="139"/>
      <c r="BM46" s="139"/>
      <c r="BN46" s="253">
        <f t="shared" ref="BN46" si="66">SUM(BO46:BU46)</f>
        <v>0</v>
      </c>
      <c r="BO46" s="139"/>
      <c r="BP46" s="139"/>
      <c r="BQ46" s="139"/>
      <c r="BR46" s="139"/>
      <c r="BS46" s="139"/>
      <c r="BT46" s="139"/>
      <c r="BU46" s="139"/>
      <c r="BV46" s="253">
        <f t="shared" ref="BV46" si="67">SUM(BW46:CC46)</f>
        <v>0</v>
      </c>
      <c r="BW46" s="139"/>
      <c r="BX46" s="139"/>
      <c r="BY46" s="139"/>
      <c r="BZ46" s="139"/>
      <c r="CA46" s="139"/>
      <c r="CB46" s="139"/>
      <c r="CC46" s="139"/>
      <c r="CD46" s="135" t="s">
        <v>514</v>
      </c>
      <c r="CE46" s="139" t="s">
        <v>372</v>
      </c>
    </row>
    <row r="47" spans="1:83" s="121" customFormat="1" ht="30" customHeight="1" x14ac:dyDescent="0.2">
      <c r="A47" s="501" t="s">
        <v>172</v>
      </c>
      <c r="B47" s="707" t="s">
        <v>178</v>
      </c>
      <c r="C47" s="707"/>
      <c r="D47" s="707"/>
      <c r="E47" s="707"/>
      <c r="F47" s="707"/>
      <c r="G47" s="707"/>
      <c r="H47" s="707"/>
      <c r="I47" s="302">
        <v>1392</v>
      </c>
      <c r="J47" s="302">
        <v>928</v>
      </c>
      <c r="K47" s="274">
        <f>SUM(K48+K59+K65+K70)</f>
        <v>2031</v>
      </c>
      <c r="L47" s="274">
        <f t="shared" ref="L47:Q47" si="68">L48+L59+L65+L70</f>
        <v>1357</v>
      </c>
      <c r="M47" s="274">
        <f t="shared" si="68"/>
        <v>951</v>
      </c>
      <c r="N47" s="274">
        <f t="shared" si="68"/>
        <v>346</v>
      </c>
      <c r="O47" s="274">
        <f t="shared" si="68"/>
        <v>60</v>
      </c>
      <c r="P47" s="274">
        <f t="shared" si="68"/>
        <v>0</v>
      </c>
      <c r="Q47" s="274">
        <f t="shared" si="68"/>
        <v>674</v>
      </c>
      <c r="R47" s="274">
        <f t="shared" ref="R47:AO47" si="69">SUM(R48:R72)/2</f>
        <v>0</v>
      </c>
      <c r="S47" s="274">
        <f t="shared" si="69"/>
        <v>0</v>
      </c>
      <c r="T47" s="274">
        <f t="shared" si="69"/>
        <v>0</v>
      </c>
      <c r="U47" s="274">
        <f t="shared" si="69"/>
        <v>0</v>
      </c>
      <c r="V47" s="274">
        <f t="shared" si="69"/>
        <v>0</v>
      </c>
      <c r="W47" s="274">
        <f t="shared" si="69"/>
        <v>0</v>
      </c>
      <c r="X47" s="274">
        <f t="shared" si="69"/>
        <v>0</v>
      </c>
      <c r="Y47" s="274">
        <f t="shared" si="69"/>
        <v>0</v>
      </c>
      <c r="Z47" s="274">
        <f t="shared" si="69"/>
        <v>0</v>
      </c>
      <c r="AA47" s="274">
        <f t="shared" si="69"/>
        <v>0</v>
      </c>
      <c r="AB47" s="274">
        <f t="shared" si="69"/>
        <v>0</v>
      </c>
      <c r="AC47" s="274">
        <f t="shared" si="69"/>
        <v>0</v>
      </c>
      <c r="AD47" s="274">
        <f t="shared" si="69"/>
        <v>48</v>
      </c>
      <c r="AE47" s="274">
        <f t="shared" si="69"/>
        <v>32</v>
      </c>
      <c r="AF47" s="274">
        <f t="shared" si="69"/>
        <v>0</v>
      </c>
      <c r="AG47" s="274">
        <f t="shared" si="69"/>
        <v>0</v>
      </c>
      <c r="AH47" s="274">
        <f t="shared" si="69"/>
        <v>0</v>
      </c>
      <c r="AI47" s="274">
        <f t="shared" si="69"/>
        <v>16</v>
      </c>
      <c r="AJ47" s="274">
        <f t="shared" si="69"/>
        <v>199</v>
      </c>
      <c r="AK47" s="274">
        <f t="shared" si="69"/>
        <v>125</v>
      </c>
      <c r="AL47" s="274">
        <f t="shared" si="69"/>
        <v>8</v>
      </c>
      <c r="AM47" s="274">
        <f t="shared" si="69"/>
        <v>0</v>
      </c>
      <c r="AN47" s="274">
        <f t="shared" si="69"/>
        <v>0</v>
      </c>
      <c r="AO47" s="274">
        <f t="shared" si="69"/>
        <v>66</v>
      </c>
      <c r="AP47" s="274">
        <f t="shared" ref="AP47:BM47" si="70">SUM(AP48:AP72)/2</f>
        <v>416</v>
      </c>
      <c r="AQ47" s="274">
        <f t="shared" si="70"/>
        <v>248</v>
      </c>
      <c r="AR47" s="274">
        <f t="shared" si="70"/>
        <v>28</v>
      </c>
      <c r="AS47" s="274">
        <f t="shared" si="70"/>
        <v>0</v>
      </c>
      <c r="AT47" s="274">
        <f t="shared" si="70"/>
        <v>0</v>
      </c>
      <c r="AU47" s="274">
        <f t="shared" si="70"/>
        <v>140</v>
      </c>
      <c r="AV47" s="274">
        <f t="shared" si="70"/>
        <v>382</v>
      </c>
      <c r="AW47" s="274">
        <f t="shared" si="70"/>
        <v>178</v>
      </c>
      <c r="AX47" s="274">
        <f t="shared" si="70"/>
        <v>48</v>
      </c>
      <c r="AY47" s="274">
        <f t="shared" si="70"/>
        <v>30</v>
      </c>
      <c r="AZ47" s="274">
        <f t="shared" si="70"/>
        <v>0</v>
      </c>
      <c r="BA47" s="274">
        <f t="shared" si="70"/>
        <v>126</v>
      </c>
      <c r="BB47" s="274">
        <f t="shared" si="70"/>
        <v>190</v>
      </c>
      <c r="BC47" s="274">
        <f t="shared" si="70"/>
        <v>80</v>
      </c>
      <c r="BD47" s="274">
        <f t="shared" si="70"/>
        <v>48</v>
      </c>
      <c r="BE47" s="274">
        <f t="shared" si="70"/>
        <v>0</v>
      </c>
      <c r="BF47" s="274">
        <f t="shared" si="70"/>
        <v>0</v>
      </c>
      <c r="BG47" s="274">
        <f t="shared" si="70"/>
        <v>62</v>
      </c>
      <c r="BH47" s="274">
        <f t="shared" si="70"/>
        <v>796</v>
      </c>
      <c r="BI47" s="274">
        <f t="shared" si="70"/>
        <v>288</v>
      </c>
      <c r="BJ47" s="274">
        <f t="shared" si="70"/>
        <v>214</v>
      </c>
      <c r="BK47" s="274">
        <f t="shared" si="70"/>
        <v>30</v>
      </c>
      <c r="BL47" s="274">
        <f t="shared" si="70"/>
        <v>0</v>
      </c>
      <c r="BM47" s="274">
        <f t="shared" si="70"/>
        <v>264</v>
      </c>
      <c r="BN47" s="274">
        <f t="shared" ref="BN47:CC47" si="71">SUM(BN48:BN72)/2</f>
        <v>0</v>
      </c>
      <c r="BO47" s="274">
        <f t="shared" si="71"/>
        <v>0</v>
      </c>
      <c r="BP47" s="274">
        <f t="shared" si="71"/>
        <v>0</v>
      </c>
      <c r="BQ47" s="274">
        <f t="shared" si="71"/>
        <v>0</v>
      </c>
      <c r="BR47" s="274">
        <f t="shared" si="71"/>
        <v>0</v>
      </c>
      <c r="BS47" s="274">
        <f t="shared" si="71"/>
        <v>0</v>
      </c>
      <c r="BT47" s="274">
        <f t="shared" si="71"/>
        <v>0</v>
      </c>
      <c r="BU47" s="274">
        <f t="shared" si="71"/>
        <v>0</v>
      </c>
      <c r="BV47" s="274">
        <f t="shared" si="71"/>
        <v>0</v>
      </c>
      <c r="BW47" s="274">
        <f t="shared" si="71"/>
        <v>0</v>
      </c>
      <c r="BX47" s="274">
        <f t="shared" si="71"/>
        <v>0</v>
      </c>
      <c r="BY47" s="274">
        <f t="shared" si="71"/>
        <v>0</v>
      </c>
      <c r="BZ47" s="274">
        <f t="shared" si="71"/>
        <v>0</v>
      </c>
      <c r="CA47" s="274">
        <f t="shared" si="71"/>
        <v>0</v>
      </c>
      <c r="CB47" s="274">
        <f t="shared" si="71"/>
        <v>0</v>
      </c>
      <c r="CC47" s="274">
        <f t="shared" si="71"/>
        <v>0</v>
      </c>
      <c r="CD47" s="303"/>
      <c r="CE47" s="303"/>
    </row>
    <row r="48" spans="1:83" s="142" customFormat="1" ht="33" customHeight="1" x14ac:dyDescent="0.2">
      <c r="A48" s="598" t="s">
        <v>589</v>
      </c>
      <c r="B48" s="705" t="s">
        <v>586</v>
      </c>
      <c r="C48" s="705"/>
      <c r="D48" s="705"/>
      <c r="E48" s="705"/>
      <c r="F48" s="705"/>
      <c r="G48" s="705"/>
      <c r="H48" s="705"/>
      <c r="I48" s="594"/>
      <c r="J48" s="594"/>
      <c r="K48" s="595">
        <f>L48+Q48</f>
        <v>1561</v>
      </c>
      <c r="L48" s="595">
        <f t="shared" ref="L48:Q48" si="72">SUM(L50:L57)</f>
        <v>1044</v>
      </c>
      <c r="M48" s="595">
        <f t="shared" si="72"/>
        <v>776</v>
      </c>
      <c r="N48" s="595">
        <f t="shared" si="72"/>
        <v>238</v>
      </c>
      <c r="O48" s="595">
        <f t="shared" si="72"/>
        <v>30</v>
      </c>
      <c r="P48" s="595">
        <f t="shared" si="72"/>
        <v>0</v>
      </c>
      <c r="Q48" s="595">
        <f t="shared" si="72"/>
        <v>517</v>
      </c>
      <c r="R48" s="595">
        <f t="shared" ref="R48:R55" si="73">SUM(S48:W48)</f>
        <v>0</v>
      </c>
      <c r="S48" s="595">
        <f t="shared" ref="S48:W48" si="74">SUM(S50:S57)</f>
        <v>0</v>
      </c>
      <c r="T48" s="595">
        <f t="shared" si="74"/>
        <v>0</v>
      </c>
      <c r="U48" s="595">
        <f t="shared" si="74"/>
        <v>0</v>
      </c>
      <c r="V48" s="595">
        <f t="shared" si="74"/>
        <v>0</v>
      </c>
      <c r="W48" s="595">
        <f t="shared" si="74"/>
        <v>0</v>
      </c>
      <c r="X48" s="595">
        <f t="shared" ref="X48:X55" si="75">SUM(Y48:AC48)</f>
        <v>0</v>
      </c>
      <c r="Y48" s="595">
        <f t="shared" ref="Y48:AC48" si="76">SUM(Y50:Y57)</f>
        <v>0</v>
      </c>
      <c r="Z48" s="595">
        <f t="shared" si="76"/>
        <v>0</v>
      </c>
      <c r="AA48" s="595">
        <f t="shared" si="76"/>
        <v>0</v>
      </c>
      <c r="AB48" s="595">
        <f t="shared" si="76"/>
        <v>0</v>
      </c>
      <c r="AC48" s="595">
        <f t="shared" si="76"/>
        <v>0</v>
      </c>
      <c r="AD48" s="595">
        <f t="shared" ref="AD48:AD55" si="77">SUM(AE48:AI48)</f>
        <v>0</v>
      </c>
      <c r="AE48" s="595">
        <f t="shared" ref="AE48:AI48" si="78">SUM(AE50:AE57)</f>
        <v>0</v>
      </c>
      <c r="AF48" s="595">
        <f t="shared" si="78"/>
        <v>0</v>
      </c>
      <c r="AG48" s="595">
        <f t="shared" si="78"/>
        <v>0</v>
      </c>
      <c r="AH48" s="595">
        <f t="shared" si="78"/>
        <v>0</v>
      </c>
      <c r="AI48" s="595">
        <f t="shared" si="78"/>
        <v>0</v>
      </c>
      <c r="AJ48" s="595">
        <f t="shared" ref="AJ48:AJ55" si="79">SUM(AK48:AO48)</f>
        <v>142</v>
      </c>
      <c r="AK48" s="595">
        <f t="shared" ref="AK48:AO48" si="80">SUM(AK50:AK57)</f>
        <v>95</v>
      </c>
      <c r="AL48" s="595">
        <f t="shared" si="80"/>
        <v>0</v>
      </c>
      <c r="AM48" s="595">
        <f t="shared" si="80"/>
        <v>0</v>
      </c>
      <c r="AN48" s="595">
        <f t="shared" si="80"/>
        <v>0</v>
      </c>
      <c r="AO48" s="595">
        <f t="shared" si="80"/>
        <v>47</v>
      </c>
      <c r="AP48" s="595">
        <f t="shared" ref="AP48:AP55" si="81">SUM(AQ48:AU48)</f>
        <v>308</v>
      </c>
      <c r="AQ48" s="595">
        <f t="shared" ref="AQ48:AU48" si="82">SUM(AQ50:AQ57)</f>
        <v>176</v>
      </c>
      <c r="AR48" s="595">
        <f t="shared" si="82"/>
        <v>28</v>
      </c>
      <c r="AS48" s="595">
        <f t="shared" si="82"/>
        <v>0</v>
      </c>
      <c r="AT48" s="595">
        <f t="shared" si="82"/>
        <v>0</v>
      </c>
      <c r="AU48" s="595">
        <f t="shared" si="82"/>
        <v>104</v>
      </c>
      <c r="AV48" s="595">
        <f t="shared" ref="AV48:AV55" si="83">SUM(AW48:BA48)</f>
        <v>382</v>
      </c>
      <c r="AW48" s="595">
        <f t="shared" ref="AW48:BA48" si="84">SUM(AW50:AW57)</f>
        <v>178</v>
      </c>
      <c r="AX48" s="595">
        <f t="shared" si="84"/>
        <v>48</v>
      </c>
      <c r="AY48" s="595">
        <f t="shared" si="84"/>
        <v>30</v>
      </c>
      <c r="AZ48" s="595">
        <f t="shared" si="84"/>
        <v>0</v>
      </c>
      <c r="BA48" s="595">
        <f t="shared" si="84"/>
        <v>126</v>
      </c>
      <c r="BB48" s="595">
        <f t="shared" ref="BB48:BB57" si="85">SUM(BC48:BG48)</f>
        <v>190</v>
      </c>
      <c r="BC48" s="595">
        <f t="shared" ref="BC48:BG48" si="86">SUM(BC50:BC57)</f>
        <v>80</v>
      </c>
      <c r="BD48" s="595">
        <f t="shared" si="86"/>
        <v>48</v>
      </c>
      <c r="BE48" s="595">
        <f t="shared" si="86"/>
        <v>0</v>
      </c>
      <c r="BF48" s="595">
        <f t="shared" si="86"/>
        <v>0</v>
      </c>
      <c r="BG48" s="595">
        <f t="shared" si="86"/>
        <v>62</v>
      </c>
      <c r="BH48" s="595">
        <f t="shared" ref="BH48" si="87">SUM(BI48:BM48)</f>
        <v>539</v>
      </c>
      <c r="BI48" s="595">
        <f>SUM(BI50:BI57)</f>
        <v>247</v>
      </c>
      <c r="BJ48" s="595">
        <f t="shared" ref="BJ48:BM48" si="88">SUM(BJ50:BJ57)</f>
        <v>114</v>
      </c>
      <c r="BK48" s="595">
        <f t="shared" si="88"/>
        <v>0</v>
      </c>
      <c r="BL48" s="595">
        <f t="shared" si="88"/>
        <v>0</v>
      </c>
      <c r="BM48" s="595">
        <f t="shared" si="88"/>
        <v>178</v>
      </c>
      <c r="BN48" s="595">
        <f>SUM(BO48:BU48)</f>
        <v>0</v>
      </c>
      <c r="BO48" s="595">
        <f t="shared" ref="BO48:BU48" si="89">SUM(BO50:BO57)</f>
        <v>0</v>
      </c>
      <c r="BP48" s="595">
        <f t="shared" si="89"/>
        <v>0</v>
      </c>
      <c r="BQ48" s="595">
        <f t="shared" si="89"/>
        <v>0</v>
      </c>
      <c r="BR48" s="595">
        <f t="shared" si="89"/>
        <v>0</v>
      </c>
      <c r="BS48" s="595">
        <f t="shared" si="89"/>
        <v>0</v>
      </c>
      <c r="BT48" s="595">
        <f t="shared" si="89"/>
        <v>0</v>
      </c>
      <c r="BU48" s="595">
        <f t="shared" si="89"/>
        <v>0</v>
      </c>
      <c r="BV48" s="595">
        <f>SUM(BW48:CC48)</f>
        <v>0</v>
      </c>
      <c r="BW48" s="595">
        <f t="shared" ref="BW48:CC48" si="90">SUM(BW50:BW57)</f>
        <v>0</v>
      </c>
      <c r="BX48" s="595">
        <f t="shared" si="90"/>
        <v>0</v>
      </c>
      <c r="BY48" s="595">
        <f t="shared" si="90"/>
        <v>0</v>
      </c>
      <c r="BZ48" s="595">
        <f t="shared" si="90"/>
        <v>0</v>
      </c>
      <c r="CA48" s="595">
        <f t="shared" si="90"/>
        <v>0</v>
      </c>
      <c r="CB48" s="595">
        <f t="shared" si="90"/>
        <v>0</v>
      </c>
      <c r="CC48" s="595">
        <f t="shared" si="90"/>
        <v>0</v>
      </c>
      <c r="CD48" s="596"/>
      <c r="CE48" s="597" t="s">
        <v>373</v>
      </c>
    </row>
    <row r="49" spans="1:83" s="142" customFormat="1" ht="27.75" customHeight="1" x14ac:dyDescent="0.2">
      <c r="A49" s="604" t="s">
        <v>584</v>
      </c>
      <c r="B49" s="757" t="s">
        <v>585</v>
      </c>
      <c r="C49" s="757"/>
      <c r="D49" s="757"/>
      <c r="E49" s="757"/>
      <c r="F49" s="757"/>
      <c r="G49" s="757"/>
      <c r="H49" s="757"/>
      <c r="I49" s="599"/>
      <c r="J49" s="599"/>
      <c r="K49" s="600"/>
      <c r="L49" s="600"/>
      <c r="M49" s="600"/>
      <c r="N49" s="600"/>
      <c r="O49" s="600"/>
      <c r="P49" s="600"/>
      <c r="Q49" s="600"/>
      <c r="R49" s="600"/>
      <c r="S49" s="600"/>
      <c r="T49" s="600"/>
      <c r="U49" s="600"/>
      <c r="V49" s="600"/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600"/>
      <c r="AI49" s="600"/>
      <c r="AJ49" s="600"/>
      <c r="AK49" s="600"/>
      <c r="AL49" s="600"/>
      <c r="AM49" s="600"/>
      <c r="AN49" s="600"/>
      <c r="AO49" s="600"/>
      <c r="AP49" s="600"/>
      <c r="AQ49" s="600"/>
      <c r="AR49" s="600"/>
      <c r="AS49" s="600"/>
      <c r="AT49" s="600"/>
      <c r="AU49" s="600"/>
      <c r="AV49" s="600"/>
      <c r="AW49" s="600"/>
      <c r="AX49" s="600"/>
      <c r="AY49" s="600"/>
      <c r="AZ49" s="600"/>
      <c r="BA49" s="600"/>
      <c r="BB49" s="600"/>
      <c r="BC49" s="600"/>
      <c r="BD49" s="600"/>
      <c r="BE49" s="600"/>
      <c r="BF49" s="600"/>
      <c r="BG49" s="600"/>
      <c r="BH49" s="600"/>
      <c r="BI49" s="600"/>
      <c r="BJ49" s="600"/>
      <c r="BK49" s="600"/>
      <c r="BL49" s="600"/>
      <c r="BM49" s="600"/>
      <c r="BN49" s="600"/>
      <c r="BO49" s="600"/>
      <c r="BP49" s="600"/>
      <c r="BQ49" s="600"/>
      <c r="BR49" s="600"/>
      <c r="BS49" s="600"/>
      <c r="BT49" s="600"/>
      <c r="BU49" s="600"/>
      <c r="BV49" s="600"/>
      <c r="BW49" s="600"/>
      <c r="BX49" s="600"/>
      <c r="BY49" s="600"/>
      <c r="BZ49" s="600"/>
      <c r="CA49" s="600"/>
      <c r="CB49" s="600"/>
      <c r="CC49" s="600"/>
      <c r="CD49" s="601"/>
      <c r="CE49" s="602" t="s">
        <v>373</v>
      </c>
    </row>
    <row r="50" spans="1:83" s="142" customFormat="1" ht="44.25" customHeight="1" x14ac:dyDescent="0.2">
      <c r="A50" s="584"/>
      <c r="B50" s="143" t="s">
        <v>498</v>
      </c>
      <c r="C50" s="143"/>
      <c r="D50" s="144" t="s">
        <v>41</v>
      </c>
      <c r="E50" s="144" t="s">
        <v>37</v>
      </c>
      <c r="F50" s="144"/>
      <c r="G50" s="144" t="s">
        <v>41</v>
      </c>
      <c r="H50" s="135" t="s">
        <v>576</v>
      </c>
      <c r="I50" s="139"/>
      <c r="J50" s="139"/>
      <c r="K50" s="138">
        <f t="shared" ref="K50:K57" si="91">L50+SUM(Q50:Q50)</f>
        <v>522</v>
      </c>
      <c r="L50" s="138">
        <f t="shared" ref="L50:L57" si="92">SUM(M50:P50)</f>
        <v>350</v>
      </c>
      <c r="M50" s="138">
        <f t="shared" ref="M50:P57" si="93">S50+Y50+AE50+AK50+AQ50+AW50+BC50+BI50+BP50+BX50</f>
        <v>235</v>
      </c>
      <c r="N50" s="138">
        <f t="shared" si="93"/>
        <v>85</v>
      </c>
      <c r="O50" s="138">
        <f t="shared" si="93"/>
        <v>30</v>
      </c>
      <c r="P50" s="138">
        <f t="shared" si="93"/>
        <v>0</v>
      </c>
      <c r="Q50" s="138">
        <f t="shared" ref="Q50:Q57" si="94">W50+AC50+AI50+AO50+AU50+BA50+BG50+BM50+BU50+CC50</f>
        <v>172</v>
      </c>
      <c r="R50" s="253">
        <f t="shared" si="73"/>
        <v>0</v>
      </c>
      <c r="S50" s="139"/>
      <c r="T50" s="139"/>
      <c r="U50" s="139"/>
      <c r="V50" s="139"/>
      <c r="W50" s="139"/>
      <c r="X50" s="253">
        <f t="shared" si="75"/>
        <v>0</v>
      </c>
      <c r="Y50" s="139"/>
      <c r="Z50" s="139"/>
      <c r="AA50" s="139"/>
      <c r="AB50" s="139"/>
      <c r="AC50" s="139"/>
      <c r="AD50" s="253">
        <f t="shared" si="77"/>
        <v>0</v>
      </c>
      <c r="AE50" s="139"/>
      <c r="AF50" s="139"/>
      <c r="AG50" s="139"/>
      <c r="AH50" s="139"/>
      <c r="AI50" s="139"/>
      <c r="AJ50" s="253">
        <f t="shared" si="79"/>
        <v>85</v>
      </c>
      <c r="AK50" s="139">
        <v>57</v>
      </c>
      <c r="AL50" s="139"/>
      <c r="AM50" s="139"/>
      <c r="AN50" s="139"/>
      <c r="AO50" s="139">
        <v>28</v>
      </c>
      <c r="AP50" s="253">
        <f t="shared" si="81"/>
        <v>110</v>
      </c>
      <c r="AQ50" s="139">
        <v>60</v>
      </c>
      <c r="AR50" s="139">
        <v>12</v>
      </c>
      <c r="AS50" s="139"/>
      <c r="AT50" s="139"/>
      <c r="AU50" s="139">
        <v>38</v>
      </c>
      <c r="AV50" s="253">
        <f t="shared" si="83"/>
        <v>82</v>
      </c>
      <c r="AW50" s="139">
        <v>26</v>
      </c>
      <c r="AX50" s="139"/>
      <c r="AY50" s="139">
        <v>30</v>
      </c>
      <c r="AZ50" s="139"/>
      <c r="BA50" s="139">
        <v>26</v>
      </c>
      <c r="BB50" s="253">
        <f t="shared" si="85"/>
        <v>46</v>
      </c>
      <c r="BC50" s="139">
        <v>16</v>
      </c>
      <c r="BD50" s="139">
        <v>16</v>
      </c>
      <c r="BE50" s="139"/>
      <c r="BF50" s="139"/>
      <c r="BG50" s="139">
        <v>14</v>
      </c>
      <c r="BH50" s="253">
        <f t="shared" ref="BH50:BH57" si="95">SUM(BI50:BM50)</f>
        <v>199</v>
      </c>
      <c r="BI50" s="139">
        <v>76</v>
      </c>
      <c r="BJ50" s="139">
        <v>57</v>
      </c>
      <c r="BK50" s="139"/>
      <c r="BL50" s="139"/>
      <c r="BM50" s="139">
        <v>66</v>
      </c>
      <c r="BN50" s="253">
        <f t="shared" ref="BN50:BN54" si="96">SUM(BO50:BU50)</f>
        <v>0</v>
      </c>
      <c r="BO50" s="139"/>
      <c r="BP50" s="139"/>
      <c r="BQ50" s="139"/>
      <c r="BR50" s="139"/>
      <c r="BS50" s="139"/>
      <c r="BT50" s="139"/>
      <c r="BU50" s="139"/>
      <c r="BV50" s="253">
        <f t="shared" ref="BV50:BV54" si="97">SUM(BW50:CC50)</f>
        <v>0</v>
      </c>
      <c r="BW50" s="139"/>
      <c r="BX50" s="139"/>
      <c r="BY50" s="139"/>
      <c r="BZ50" s="139"/>
      <c r="CA50" s="139"/>
      <c r="CB50" s="139"/>
      <c r="CC50" s="139"/>
      <c r="CD50" s="135" t="s">
        <v>515</v>
      </c>
      <c r="CE50" s="164" t="s">
        <v>373</v>
      </c>
    </row>
    <row r="51" spans="1:83" s="142" customFormat="1" ht="44.25" customHeight="1" x14ac:dyDescent="0.2">
      <c r="A51" s="584"/>
      <c r="B51" s="143" t="s">
        <v>476</v>
      </c>
      <c r="C51" s="143"/>
      <c r="D51" s="144" t="s">
        <v>41</v>
      </c>
      <c r="E51" s="144" t="s">
        <v>37</v>
      </c>
      <c r="F51" s="144"/>
      <c r="G51" s="144"/>
      <c r="H51" s="135" t="s">
        <v>576</v>
      </c>
      <c r="I51" s="139"/>
      <c r="J51" s="139"/>
      <c r="K51" s="138">
        <f t="shared" si="91"/>
        <v>346</v>
      </c>
      <c r="L51" s="138">
        <f t="shared" si="92"/>
        <v>231</v>
      </c>
      <c r="M51" s="138">
        <f t="shared" si="93"/>
        <v>168</v>
      </c>
      <c r="N51" s="138">
        <f t="shared" si="93"/>
        <v>63</v>
      </c>
      <c r="O51" s="138">
        <f t="shared" si="93"/>
        <v>0</v>
      </c>
      <c r="P51" s="138">
        <f t="shared" si="93"/>
        <v>0</v>
      </c>
      <c r="Q51" s="138">
        <f t="shared" si="94"/>
        <v>115</v>
      </c>
      <c r="R51" s="253">
        <f t="shared" si="73"/>
        <v>0</v>
      </c>
      <c r="S51" s="139"/>
      <c r="T51" s="139"/>
      <c r="U51" s="139"/>
      <c r="V51" s="139"/>
      <c r="W51" s="139"/>
      <c r="X51" s="253">
        <f t="shared" si="75"/>
        <v>0</v>
      </c>
      <c r="Y51" s="139"/>
      <c r="Z51" s="139"/>
      <c r="AA51" s="139"/>
      <c r="AB51" s="139"/>
      <c r="AC51" s="139"/>
      <c r="AD51" s="253">
        <f t="shared" si="77"/>
        <v>0</v>
      </c>
      <c r="AE51" s="139"/>
      <c r="AF51" s="139"/>
      <c r="AG51" s="139"/>
      <c r="AH51" s="139"/>
      <c r="AI51" s="139"/>
      <c r="AJ51" s="253">
        <f t="shared" si="79"/>
        <v>57</v>
      </c>
      <c r="AK51" s="139">
        <v>38</v>
      </c>
      <c r="AL51" s="139"/>
      <c r="AM51" s="139"/>
      <c r="AN51" s="139"/>
      <c r="AO51" s="139">
        <v>19</v>
      </c>
      <c r="AP51" s="253">
        <f t="shared" si="81"/>
        <v>72</v>
      </c>
      <c r="AQ51" s="164">
        <v>36</v>
      </c>
      <c r="AR51" s="139">
        <v>12</v>
      </c>
      <c r="AS51" s="139"/>
      <c r="AT51" s="139"/>
      <c r="AU51" s="139">
        <v>24</v>
      </c>
      <c r="AV51" s="253">
        <f t="shared" si="83"/>
        <v>84</v>
      </c>
      <c r="AW51" s="139">
        <v>40</v>
      </c>
      <c r="AX51" s="139">
        <v>16</v>
      </c>
      <c r="AY51" s="139"/>
      <c r="AZ51" s="139"/>
      <c r="BA51" s="139">
        <v>28</v>
      </c>
      <c r="BB51" s="253">
        <f t="shared" si="85"/>
        <v>48</v>
      </c>
      <c r="BC51" s="139">
        <v>16</v>
      </c>
      <c r="BD51" s="139">
        <v>16</v>
      </c>
      <c r="BE51" s="139"/>
      <c r="BF51" s="139"/>
      <c r="BG51" s="139">
        <v>16</v>
      </c>
      <c r="BH51" s="253">
        <f t="shared" si="95"/>
        <v>85</v>
      </c>
      <c r="BI51" s="164">
        <v>38</v>
      </c>
      <c r="BJ51" s="164">
        <v>19</v>
      </c>
      <c r="BK51" s="164"/>
      <c r="BL51" s="139"/>
      <c r="BM51" s="139">
        <v>28</v>
      </c>
      <c r="BN51" s="253">
        <f t="shared" si="96"/>
        <v>0</v>
      </c>
      <c r="BO51" s="139"/>
      <c r="BP51" s="139"/>
      <c r="BQ51" s="139"/>
      <c r="BR51" s="139"/>
      <c r="BS51" s="139"/>
      <c r="BT51" s="139"/>
      <c r="BU51" s="139"/>
      <c r="BV51" s="253">
        <f t="shared" si="97"/>
        <v>0</v>
      </c>
      <c r="BW51" s="139"/>
      <c r="BX51" s="139"/>
      <c r="BY51" s="139"/>
      <c r="BZ51" s="139"/>
      <c r="CA51" s="139"/>
      <c r="CB51" s="139"/>
      <c r="CC51" s="139"/>
      <c r="CD51" s="135" t="s">
        <v>515</v>
      </c>
      <c r="CE51" s="164" t="s">
        <v>373</v>
      </c>
    </row>
    <row r="52" spans="1:83" s="142" customFormat="1" ht="30.75" customHeight="1" x14ac:dyDescent="0.2">
      <c r="A52" s="584"/>
      <c r="B52" s="143" t="s">
        <v>297</v>
      </c>
      <c r="C52" s="143"/>
      <c r="D52" s="144"/>
      <c r="E52" s="144" t="s">
        <v>37</v>
      </c>
      <c r="F52" s="144"/>
      <c r="G52" s="144"/>
      <c r="H52" s="135" t="s">
        <v>577</v>
      </c>
      <c r="I52" s="139"/>
      <c r="J52" s="139"/>
      <c r="K52" s="138">
        <f t="shared" si="91"/>
        <v>205</v>
      </c>
      <c r="L52" s="138">
        <f t="shared" si="92"/>
        <v>137</v>
      </c>
      <c r="M52" s="138">
        <f t="shared" si="93"/>
        <v>94</v>
      </c>
      <c r="N52" s="138">
        <f t="shared" si="93"/>
        <v>43</v>
      </c>
      <c r="O52" s="138">
        <f t="shared" si="93"/>
        <v>0</v>
      </c>
      <c r="P52" s="138">
        <f t="shared" si="93"/>
        <v>0</v>
      </c>
      <c r="Q52" s="138">
        <f t="shared" si="94"/>
        <v>68</v>
      </c>
      <c r="R52" s="253">
        <f t="shared" si="73"/>
        <v>0</v>
      </c>
      <c r="S52" s="139"/>
      <c r="T52" s="139"/>
      <c r="U52" s="139"/>
      <c r="V52" s="139"/>
      <c r="W52" s="139"/>
      <c r="X52" s="253">
        <f t="shared" si="75"/>
        <v>0</v>
      </c>
      <c r="Y52" s="139"/>
      <c r="Z52" s="139"/>
      <c r="AA52" s="139"/>
      <c r="AB52" s="139"/>
      <c r="AC52" s="139"/>
      <c r="AD52" s="253">
        <f t="shared" si="77"/>
        <v>0</v>
      </c>
      <c r="AE52" s="139"/>
      <c r="AF52" s="139"/>
      <c r="AG52" s="139"/>
      <c r="AH52" s="139"/>
      <c r="AI52" s="139"/>
      <c r="AJ52" s="253">
        <f t="shared" si="79"/>
        <v>0</v>
      </c>
      <c r="AK52" s="139"/>
      <c r="AL52" s="139"/>
      <c r="AM52" s="139"/>
      <c r="AN52" s="139"/>
      <c r="AO52" s="139"/>
      <c r="AP52" s="253">
        <f t="shared" si="81"/>
        <v>36</v>
      </c>
      <c r="AQ52" s="139">
        <v>24</v>
      </c>
      <c r="AR52" s="139"/>
      <c r="AS52" s="139"/>
      <c r="AT52" s="139"/>
      <c r="AU52" s="139">
        <v>12</v>
      </c>
      <c r="AV52" s="253">
        <f t="shared" si="83"/>
        <v>48</v>
      </c>
      <c r="AW52" s="139">
        <v>16</v>
      </c>
      <c r="AX52" s="139">
        <v>16</v>
      </c>
      <c r="AY52" s="139"/>
      <c r="AZ52" s="139"/>
      <c r="BA52" s="139">
        <v>16</v>
      </c>
      <c r="BB52" s="253">
        <f t="shared" si="85"/>
        <v>36</v>
      </c>
      <c r="BC52" s="139">
        <v>16</v>
      </c>
      <c r="BD52" s="139">
        <v>8</v>
      </c>
      <c r="BE52" s="139"/>
      <c r="BF52" s="139"/>
      <c r="BG52" s="139">
        <v>12</v>
      </c>
      <c r="BH52" s="253">
        <f t="shared" si="95"/>
        <v>85</v>
      </c>
      <c r="BI52" s="164">
        <v>38</v>
      </c>
      <c r="BJ52" s="164">
        <v>19</v>
      </c>
      <c r="BK52" s="164"/>
      <c r="BL52" s="139"/>
      <c r="BM52" s="139">
        <v>28</v>
      </c>
      <c r="BN52" s="253">
        <f t="shared" si="96"/>
        <v>0</v>
      </c>
      <c r="BO52" s="139"/>
      <c r="BP52" s="139"/>
      <c r="BQ52" s="139"/>
      <c r="BR52" s="139"/>
      <c r="BS52" s="139"/>
      <c r="BT52" s="139"/>
      <c r="BU52" s="139"/>
      <c r="BV52" s="253">
        <f t="shared" si="97"/>
        <v>0</v>
      </c>
      <c r="BW52" s="139"/>
      <c r="BX52" s="139"/>
      <c r="BY52" s="139"/>
      <c r="BZ52" s="139"/>
      <c r="CA52" s="139"/>
      <c r="CB52" s="139"/>
      <c r="CC52" s="139"/>
      <c r="CD52" s="135" t="s">
        <v>515</v>
      </c>
      <c r="CE52" s="164" t="s">
        <v>373</v>
      </c>
    </row>
    <row r="53" spans="1:83" s="142" customFormat="1" ht="30" customHeight="1" x14ac:dyDescent="0.2">
      <c r="A53" s="584"/>
      <c r="B53" s="143" t="s">
        <v>298</v>
      </c>
      <c r="C53" s="143"/>
      <c r="D53" s="144"/>
      <c r="E53" s="144" t="s">
        <v>41</v>
      </c>
      <c r="F53" s="144"/>
      <c r="G53" s="144"/>
      <c r="H53" s="135"/>
      <c r="I53" s="139"/>
      <c r="J53" s="139"/>
      <c r="K53" s="138">
        <f t="shared" si="91"/>
        <v>78</v>
      </c>
      <c r="L53" s="138">
        <f t="shared" si="92"/>
        <v>52</v>
      </c>
      <c r="M53" s="138">
        <f t="shared" si="93"/>
        <v>44</v>
      </c>
      <c r="N53" s="138">
        <f t="shared" si="93"/>
        <v>8</v>
      </c>
      <c r="O53" s="138">
        <f t="shared" si="93"/>
        <v>0</v>
      </c>
      <c r="P53" s="138">
        <f t="shared" si="93"/>
        <v>0</v>
      </c>
      <c r="Q53" s="138">
        <f t="shared" si="94"/>
        <v>26</v>
      </c>
      <c r="R53" s="253">
        <f t="shared" si="73"/>
        <v>0</v>
      </c>
      <c r="S53" s="139"/>
      <c r="T53" s="139"/>
      <c r="U53" s="139"/>
      <c r="V53" s="139"/>
      <c r="W53" s="139"/>
      <c r="X53" s="253">
        <f t="shared" si="75"/>
        <v>0</v>
      </c>
      <c r="Y53" s="139"/>
      <c r="Z53" s="139"/>
      <c r="AA53" s="139"/>
      <c r="AB53" s="139"/>
      <c r="AC53" s="139"/>
      <c r="AD53" s="253">
        <f t="shared" si="77"/>
        <v>0</v>
      </c>
      <c r="AE53" s="139"/>
      <c r="AF53" s="139"/>
      <c r="AG53" s="139"/>
      <c r="AH53" s="139"/>
      <c r="AI53" s="139"/>
      <c r="AJ53" s="253">
        <f t="shared" si="79"/>
        <v>0</v>
      </c>
      <c r="AK53" s="139"/>
      <c r="AL53" s="139"/>
      <c r="AM53" s="139"/>
      <c r="AN53" s="139"/>
      <c r="AO53" s="139"/>
      <c r="AP53" s="253">
        <f t="shared" si="81"/>
        <v>0</v>
      </c>
      <c r="AQ53" s="139"/>
      <c r="AR53" s="139"/>
      <c r="AS53" s="139"/>
      <c r="AT53" s="139"/>
      <c r="AU53" s="139"/>
      <c r="AV53" s="253">
        <f t="shared" si="83"/>
        <v>78</v>
      </c>
      <c r="AW53" s="139">
        <v>44</v>
      </c>
      <c r="AX53" s="139">
        <v>8</v>
      </c>
      <c r="AY53" s="139"/>
      <c r="AZ53" s="139"/>
      <c r="BA53" s="139">
        <v>26</v>
      </c>
      <c r="BB53" s="253">
        <f t="shared" si="85"/>
        <v>0</v>
      </c>
      <c r="BC53" s="139"/>
      <c r="BD53" s="139"/>
      <c r="BE53" s="139"/>
      <c r="BF53" s="139"/>
      <c r="BG53" s="139"/>
      <c r="BH53" s="253">
        <f t="shared" si="95"/>
        <v>0</v>
      </c>
      <c r="BI53" s="164"/>
      <c r="BJ53" s="164"/>
      <c r="BK53" s="164"/>
      <c r="BL53" s="139"/>
      <c r="BM53" s="139"/>
      <c r="BN53" s="253">
        <f t="shared" si="96"/>
        <v>0</v>
      </c>
      <c r="BO53" s="139"/>
      <c r="BP53" s="139"/>
      <c r="BQ53" s="139"/>
      <c r="BR53" s="139"/>
      <c r="BS53" s="139"/>
      <c r="BT53" s="139"/>
      <c r="BU53" s="139"/>
      <c r="BV53" s="253">
        <f t="shared" si="97"/>
        <v>0</v>
      </c>
      <c r="BW53" s="139"/>
      <c r="BX53" s="139"/>
      <c r="BY53" s="139"/>
      <c r="BZ53" s="139"/>
      <c r="CA53" s="139"/>
      <c r="CB53" s="139"/>
      <c r="CC53" s="139"/>
      <c r="CD53" s="135" t="s">
        <v>515</v>
      </c>
      <c r="CE53" s="164" t="s">
        <v>373</v>
      </c>
    </row>
    <row r="54" spans="1:83" s="142" customFormat="1" ht="15.75" customHeight="1" x14ac:dyDescent="0.2">
      <c r="A54" s="584"/>
      <c r="B54" s="143" t="s">
        <v>426</v>
      </c>
      <c r="C54" s="143"/>
      <c r="D54" s="144"/>
      <c r="E54" s="144" t="s">
        <v>552</v>
      </c>
      <c r="F54" s="144"/>
      <c r="G54" s="144"/>
      <c r="H54" s="135" t="s">
        <v>42</v>
      </c>
      <c r="I54" s="139"/>
      <c r="J54" s="139"/>
      <c r="K54" s="138">
        <f t="shared" si="91"/>
        <v>199</v>
      </c>
      <c r="L54" s="138">
        <f t="shared" si="92"/>
        <v>133</v>
      </c>
      <c r="M54" s="138">
        <f t="shared" si="93"/>
        <v>94</v>
      </c>
      <c r="N54" s="138">
        <f t="shared" si="93"/>
        <v>39</v>
      </c>
      <c r="O54" s="138">
        <f t="shared" si="93"/>
        <v>0</v>
      </c>
      <c r="P54" s="138">
        <f t="shared" si="93"/>
        <v>0</v>
      </c>
      <c r="Q54" s="138">
        <f t="shared" si="94"/>
        <v>66</v>
      </c>
      <c r="R54" s="253">
        <f t="shared" si="73"/>
        <v>0</v>
      </c>
      <c r="S54" s="139"/>
      <c r="T54" s="139"/>
      <c r="U54" s="139"/>
      <c r="V54" s="139"/>
      <c r="W54" s="139"/>
      <c r="X54" s="253">
        <f t="shared" si="75"/>
        <v>0</v>
      </c>
      <c r="Y54" s="139"/>
      <c r="Z54" s="139"/>
      <c r="AA54" s="139"/>
      <c r="AB54" s="139"/>
      <c r="AC54" s="139"/>
      <c r="AD54" s="253">
        <f t="shared" si="77"/>
        <v>0</v>
      </c>
      <c r="AE54" s="139"/>
      <c r="AF54" s="139"/>
      <c r="AG54" s="139"/>
      <c r="AH54" s="139"/>
      <c r="AI54" s="139"/>
      <c r="AJ54" s="253">
        <f t="shared" si="79"/>
        <v>0</v>
      </c>
      <c r="AK54" s="139"/>
      <c r="AL54" s="139"/>
      <c r="AM54" s="139"/>
      <c r="AN54" s="139"/>
      <c r="AO54" s="139"/>
      <c r="AP54" s="253">
        <f t="shared" si="81"/>
        <v>36</v>
      </c>
      <c r="AQ54" s="139">
        <v>20</v>
      </c>
      <c r="AR54" s="139">
        <v>4</v>
      </c>
      <c r="AS54" s="139"/>
      <c r="AT54" s="139"/>
      <c r="AU54" s="139">
        <v>12</v>
      </c>
      <c r="AV54" s="253">
        <f t="shared" si="83"/>
        <v>42</v>
      </c>
      <c r="AW54" s="164">
        <v>20</v>
      </c>
      <c r="AX54" s="139">
        <v>8</v>
      </c>
      <c r="AY54" s="139"/>
      <c r="AZ54" s="139"/>
      <c r="BA54" s="139">
        <v>14</v>
      </c>
      <c r="BB54" s="253">
        <f t="shared" si="85"/>
        <v>36</v>
      </c>
      <c r="BC54" s="139">
        <v>16</v>
      </c>
      <c r="BD54" s="139">
        <v>8</v>
      </c>
      <c r="BE54" s="139"/>
      <c r="BF54" s="139"/>
      <c r="BG54" s="139">
        <v>12</v>
      </c>
      <c r="BH54" s="253">
        <f t="shared" si="95"/>
        <v>85</v>
      </c>
      <c r="BI54" s="164">
        <v>38</v>
      </c>
      <c r="BJ54" s="164">
        <v>19</v>
      </c>
      <c r="BK54" s="164"/>
      <c r="BL54" s="139"/>
      <c r="BM54" s="139">
        <v>28</v>
      </c>
      <c r="BN54" s="253">
        <f t="shared" si="96"/>
        <v>0</v>
      </c>
      <c r="BO54" s="139"/>
      <c r="BP54" s="139"/>
      <c r="BQ54" s="139"/>
      <c r="BR54" s="139"/>
      <c r="BS54" s="139"/>
      <c r="BT54" s="139"/>
      <c r="BU54" s="139"/>
      <c r="BV54" s="253">
        <f t="shared" si="97"/>
        <v>0</v>
      </c>
      <c r="BW54" s="139"/>
      <c r="BX54" s="139"/>
      <c r="BY54" s="139"/>
      <c r="BZ54" s="139"/>
      <c r="CA54" s="139"/>
      <c r="CB54" s="139"/>
      <c r="CC54" s="139"/>
      <c r="CD54" s="135" t="s">
        <v>513</v>
      </c>
      <c r="CE54" s="164" t="s">
        <v>373</v>
      </c>
    </row>
    <row r="55" spans="1:83" s="142" customFormat="1" ht="30" customHeight="1" x14ac:dyDescent="0.2">
      <c r="A55" s="584"/>
      <c r="B55" s="143" t="s">
        <v>341</v>
      </c>
      <c r="C55" s="143"/>
      <c r="D55" s="144"/>
      <c r="E55" s="144" t="s">
        <v>41</v>
      </c>
      <c r="F55" s="144"/>
      <c r="G55" s="144"/>
      <c r="H55" s="135"/>
      <c r="I55" s="139"/>
      <c r="J55" s="139"/>
      <c r="K55" s="138">
        <f t="shared" si="91"/>
        <v>48</v>
      </c>
      <c r="L55" s="138">
        <f t="shared" si="92"/>
        <v>32</v>
      </c>
      <c r="M55" s="138">
        <f t="shared" si="93"/>
        <v>32</v>
      </c>
      <c r="N55" s="138">
        <f t="shared" si="93"/>
        <v>0</v>
      </c>
      <c r="O55" s="138">
        <f t="shared" si="93"/>
        <v>0</v>
      </c>
      <c r="P55" s="138">
        <f t="shared" si="93"/>
        <v>0</v>
      </c>
      <c r="Q55" s="138">
        <f t="shared" si="94"/>
        <v>16</v>
      </c>
      <c r="R55" s="253">
        <f t="shared" si="73"/>
        <v>0</v>
      </c>
      <c r="S55" s="139"/>
      <c r="T55" s="139"/>
      <c r="U55" s="139"/>
      <c r="V55" s="139"/>
      <c r="W55" s="139"/>
      <c r="X55" s="253">
        <f t="shared" si="75"/>
        <v>0</v>
      </c>
      <c r="Y55" s="139"/>
      <c r="Z55" s="139"/>
      <c r="AA55" s="139"/>
      <c r="AB55" s="139"/>
      <c r="AC55" s="139"/>
      <c r="AD55" s="253">
        <f t="shared" si="77"/>
        <v>0</v>
      </c>
      <c r="AE55" s="139"/>
      <c r="AF55" s="139"/>
      <c r="AG55" s="139"/>
      <c r="AH55" s="139"/>
      <c r="AI55" s="139"/>
      <c r="AJ55" s="253">
        <f t="shared" si="79"/>
        <v>0</v>
      </c>
      <c r="AK55" s="139"/>
      <c r="AL55" s="139"/>
      <c r="AM55" s="139"/>
      <c r="AN55" s="139"/>
      <c r="AO55" s="139"/>
      <c r="AP55" s="253">
        <f t="shared" si="81"/>
        <v>0</v>
      </c>
      <c r="AQ55" s="139"/>
      <c r="AR55" s="139"/>
      <c r="AS55" s="139"/>
      <c r="AT55" s="139"/>
      <c r="AU55" s="139"/>
      <c r="AV55" s="253">
        <f t="shared" si="83"/>
        <v>48</v>
      </c>
      <c r="AW55" s="139">
        <v>32</v>
      </c>
      <c r="AX55" s="139"/>
      <c r="AY55" s="139"/>
      <c r="AZ55" s="139"/>
      <c r="BA55" s="139">
        <v>16</v>
      </c>
      <c r="BB55" s="253">
        <f t="shared" si="85"/>
        <v>0</v>
      </c>
      <c r="BC55" s="139"/>
      <c r="BD55" s="139"/>
      <c r="BE55" s="139"/>
      <c r="BF55" s="139"/>
      <c r="BG55" s="139"/>
      <c r="BH55" s="253">
        <f t="shared" si="95"/>
        <v>0</v>
      </c>
      <c r="BI55" s="164"/>
      <c r="BJ55" s="164"/>
      <c r="BK55" s="164"/>
      <c r="BL55" s="139"/>
      <c r="BM55" s="139"/>
      <c r="BN55" s="253">
        <f t="shared" ref="BN55" si="98">SUM(BO55:BU55)</f>
        <v>0</v>
      </c>
      <c r="BO55" s="139"/>
      <c r="BP55" s="139"/>
      <c r="BQ55" s="139"/>
      <c r="BR55" s="139"/>
      <c r="BS55" s="139"/>
      <c r="BT55" s="139"/>
      <c r="BU55" s="139"/>
      <c r="BV55" s="253">
        <f t="shared" ref="BV55" si="99">SUM(BW55:CC55)</f>
        <v>0</v>
      </c>
      <c r="BW55" s="139"/>
      <c r="BX55" s="139"/>
      <c r="BY55" s="139"/>
      <c r="BZ55" s="139"/>
      <c r="CA55" s="139"/>
      <c r="CB55" s="139"/>
      <c r="CC55" s="139"/>
      <c r="CD55" s="135" t="s">
        <v>515</v>
      </c>
      <c r="CE55" s="164" t="s">
        <v>373</v>
      </c>
    </row>
    <row r="56" spans="1:83" s="142" customFormat="1" ht="30.75" customHeight="1" x14ac:dyDescent="0.2">
      <c r="A56" s="584"/>
      <c r="B56" s="143" t="s">
        <v>485</v>
      </c>
      <c r="C56" s="143"/>
      <c r="D56" s="144"/>
      <c r="E56" s="144" t="s">
        <v>37</v>
      </c>
      <c r="F56" s="144"/>
      <c r="G56" s="144"/>
      <c r="H56" s="135" t="s">
        <v>42</v>
      </c>
      <c r="I56" s="139"/>
      <c r="J56" s="139"/>
      <c r="K56" s="138">
        <f t="shared" si="91"/>
        <v>109</v>
      </c>
      <c r="L56" s="138">
        <f t="shared" si="92"/>
        <v>73</v>
      </c>
      <c r="M56" s="138">
        <f t="shared" si="93"/>
        <v>73</v>
      </c>
      <c r="N56" s="138">
        <f t="shared" si="93"/>
        <v>0</v>
      </c>
      <c r="O56" s="138">
        <f t="shared" si="93"/>
        <v>0</v>
      </c>
      <c r="P56" s="138">
        <f t="shared" si="93"/>
        <v>0</v>
      </c>
      <c r="Q56" s="138">
        <f t="shared" si="94"/>
        <v>36</v>
      </c>
      <c r="R56" s="253"/>
      <c r="S56" s="139"/>
      <c r="T56" s="139"/>
      <c r="U56" s="139"/>
      <c r="V56" s="139"/>
      <c r="W56" s="139"/>
      <c r="X56" s="253"/>
      <c r="Y56" s="139"/>
      <c r="Z56" s="139"/>
      <c r="AA56" s="139"/>
      <c r="AB56" s="139"/>
      <c r="AC56" s="139"/>
      <c r="AD56" s="253"/>
      <c r="AE56" s="139"/>
      <c r="AF56" s="139"/>
      <c r="AG56" s="139"/>
      <c r="AH56" s="139"/>
      <c r="AI56" s="139"/>
      <c r="AJ56" s="253"/>
      <c r="AK56" s="139"/>
      <c r="AL56" s="139"/>
      <c r="AM56" s="139"/>
      <c r="AN56" s="139"/>
      <c r="AO56" s="139"/>
      <c r="AP56" s="253"/>
      <c r="AQ56" s="139"/>
      <c r="AR56" s="139"/>
      <c r="AS56" s="139"/>
      <c r="AT56" s="139"/>
      <c r="AU56" s="139"/>
      <c r="AV56" s="253"/>
      <c r="AW56" s="139"/>
      <c r="AX56" s="139"/>
      <c r="AY56" s="139"/>
      <c r="AZ56" s="139"/>
      <c r="BA56" s="139"/>
      <c r="BB56" s="253">
        <f t="shared" si="85"/>
        <v>24</v>
      </c>
      <c r="BC56" s="139">
        <v>16</v>
      </c>
      <c r="BD56" s="139"/>
      <c r="BE56" s="139"/>
      <c r="BF56" s="139"/>
      <c r="BG56" s="139">
        <v>8</v>
      </c>
      <c r="BH56" s="253">
        <f t="shared" si="95"/>
        <v>85</v>
      </c>
      <c r="BI56" s="164">
        <v>57</v>
      </c>
      <c r="BJ56" s="164"/>
      <c r="BK56" s="164"/>
      <c r="BL56" s="139"/>
      <c r="BM56" s="139">
        <v>28</v>
      </c>
      <c r="BN56" s="253"/>
      <c r="BO56" s="139"/>
      <c r="BP56" s="139"/>
      <c r="BQ56" s="139"/>
      <c r="BR56" s="139"/>
      <c r="BS56" s="139"/>
      <c r="BT56" s="139"/>
      <c r="BU56" s="139"/>
      <c r="BV56" s="253"/>
      <c r="BW56" s="139"/>
      <c r="BX56" s="139"/>
      <c r="BY56" s="139"/>
      <c r="BZ56" s="139"/>
      <c r="CA56" s="139"/>
      <c r="CB56" s="139"/>
      <c r="CC56" s="139"/>
      <c r="CD56" s="135" t="s">
        <v>515</v>
      </c>
      <c r="CE56" s="615" t="s">
        <v>592</v>
      </c>
    </row>
    <row r="57" spans="1:83" s="142" customFormat="1" ht="30" customHeight="1" x14ac:dyDescent="0.2">
      <c r="A57" s="584"/>
      <c r="B57" s="143" t="s">
        <v>540</v>
      </c>
      <c r="C57" s="143"/>
      <c r="D57" s="143"/>
      <c r="E57" s="307" t="s">
        <v>40</v>
      </c>
      <c r="F57" s="307"/>
      <c r="G57" s="143"/>
      <c r="H57" s="143"/>
      <c r="I57" s="164"/>
      <c r="J57" s="164"/>
      <c r="K57" s="138">
        <f t="shared" si="91"/>
        <v>54</v>
      </c>
      <c r="L57" s="138">
        <f t="shared" si="92"/>
        <v>36</v>
      </c>
      <c r="M57" s="138">
        <f t="shared" si="93"/>
        <v>36</v>
      </c>
      <c r="N57" s="138">
        <f t="shared" si="93"/>
        <v>0</v>
      </c>
      <c r="O57" s="138">
        <f t="shared" si="93"/>
        <v>0</v>
      </c>
      <c r="P57" s="138">
        <f t="shared" si="93"/>
        <v>0</v>
      </c>
      <c r="Q57" s="138">
        <f t="shared" si="94"/>
        <v>18</v>
      </c>
      <c r="R57" s="253">
        <f>SUM(S57:W57)</f>
        <v>0</v>
      </c>
      <c r="S57" s="289"/>
      <c r="T57" s="289"/>
      <c r="U57" s="164"/>
      <c r="V57" s="164"/>
      <c r="W57" s="164"/>
      <c r="X57" s="253">
        <f>SUM(Y57:AC57)</f>
        <v>0</v>
      </c>
      <c r="Y57" s="164"/>
      <c r="Z57" s="164"/>
      <c r="AA57" s="164"/>
      <c r="AB57" s="164"/>
      <c r="AC57" s="164"/>
      <c r="AD57" s="253">
        <f>SUM(AE57:AI57)</f>
        <v>0</v>
      </c>
      <c r="AE57" s="164"/>
      <c r="AF57" s="164"/>
      <c r="AG57" s="164"/>
      <c r="AH57" s="164"/>
      <c r="AI57" s="164"/>
      <c r="AJ57" s="253">
        <f>SUM(AK57:AO57)</f>
        <v>0</v>
      </c>
      <c r="AK57" s="164"/>
      <c r="AL57" s="164"/>
      <c r="AM57" s="164"/>
      <c r="AN57" s="164"/>
      <c r="AO57" s="164"/>
      <c r="AP57" s="253">
        <f>SUM(AQ57:AU57)</f>
        <v>54</v>
      </c>
      <c r="AQ57" s="164">
        <v>36</v>
      </c>
      <c r="AR57" s="164"/>
      <c r="AS57" s="164"/>
      <c r="AT57" s="164"/>
      <c r="AU57" s="164">
        <v>18</v>
      </c>
      <c r="AV57" s="253">
        <f>SUM(AW57:BA57)</f>
        <v>0</v>
      </c>
      <c r="AW57" s="164"/>
      <c r="AX57" s="164"/>
      <c r="AY57" s="164"/>
      <c r="AZ57" s="164"/>
      <c r="BA57" s="164"/>
      <c r="BB57" s="253">
        <f t="shared" si="85"/>
        <v>0</v>
      </c>
      <c r="BC57" s="164"/>
      <c r="BD57" s="164"/>
      <c r="BE57" s="164"/>
      <c r="BF57" s="164"/>
      <c r="BG57" s="164"/>
      <c r="BH57" s="253">
        <f t="shared" si="95"/>
        <v>0</v>
      </c>
      <c r="BI57" s="164"/>
      <c r="BJ57" s="164"/>
      <c r="BK57" s="164"/>
      <c r="BL57" s="164"/>
      <c r="BM57" s="164"/>
      <c r="BN57" s="289">
        <f>SUM(BO57:BU57)</f>
        <v>0</v>
      </c>
      <c r="BO57" s="164"/>
      <c r="BP57" s="164"/>
      <c r="BQ57" s="164"/>
      <c r="BR57" s="164"/>
      <c r="BS57" s="164"/>
      <c r="BT57" s="164"/>
      <c r="BU57" s="164"/>
      <c r="BV57" s="289">
        <f>SUM(BW57:CC57)</f>
        <v>0</v>
      </c>
      <c r="BW57" s="164"/>
      <c r="BX57" s="164"/>
      <c r="BY57" s="164"/>
      <c r="BZ57" s="164"/>
      <c r="CA57" s="164"/>
      <c r="CB57" s="164"/>
      <c r="CC57" s="164"/>
      <c r="CD57" s="135" t="s">
        <v>514</v>
      </c>
      <c r="CE57" s="616" t="s">
        <v>613</v>
      </c>
    </row>
    <row r="58" spans="1:83" s="142" customFormat="1" ht="13.5" customHeight="1" x14ac:dyDescent="0.2">
      <c r="A58" s="304" t="s">
        <v>420</v>
      </c>
      <c r="B58" s="432"/>
      <c r="C58" s="432"/>
      <c r="D58" s="433" t="s">
        <v>37</v>
      </c>
      <c r="E58" s="434"/>
      <c r="F58" s="434"/>
      <c r="G58" s="434"/>
      <c r="H58" s="434"/>
      <c r="I58" s="565"/>
      <c r="J58" s="305"/>
      <c r="K58" s="306"/>
      <c r="L58" s="306"/>
      <c r="M58" s="306"/>
      <c r="N58" s="306"/>
      <c r="O58" s="306"/>
      <c r="P58" s="306"/>
      <c r="Q58" s="306"/>
      <c r="R58" s="306"/>
      <c r="S58" s="305"/>
      <c r="T58" s="305"/>
      <c r="U58" s="305"/>
      <c r="V58" s="305"/>
      <c r="W58" s="305"/>
      <c r="X58" s="306"/>
      <c r="Y58" s="305"/>
      <c r="Z58" s="305"/>
      <c r="AA58" s="305"/>
      <c r="AB58" s="305"/>
      <c r="AC58" s="305"/>
      <c r="AD58" s="306"/>
      <c r="AE58" s="305"/>
      <c r="AF58" s="305"/>
      <c r="AG58" s="305"/>
      <c r="AH58" s="305"/>
      <c r="AI58" s="305"/>
      <c r="AJ58" s="306"/>
      <c r="AK58" s="305"/>
      <c r="AL58" s="305"/>
      <c r="AM58" s="305"/>
      <c r="AN58" s="305"/>
      <c r="AO58" s="305"/>
      <c r="AP58" s="306"/>
      <c r="AQ58" s="305"/>
      <c r="AR58" s="305"/>
      <c r="AS58" s="305"/>
      <c r="AT58" s="305"/>
      <c r="AU58" s="305"/>
      <c r="AV58" s="306"/>
      <c r="AW58" s="305"/>
      <c r="AX58" s="305"/>
      <c r="AY58" s="305"/>
      <c r="AZ58" s="305"/>
      <c r="BA58" s="305"/>
      <c r="BB58" s="306"/>
      <c r="BC58" s="305"/>
      <c r="BD58" s="305"/>
      <c r="BE58" s="305"/>
      <c r="BF58" s="305"/>
      <c r="BG58" s="305"/>
      <c r="BH58" s="306"/>
      <c r="BI58" s="305"/>
      <c r="BJ58" s="305"/>
      <c r="BK58" s="305"/>
      <c r="BL58" s="305"/>
      <c r="BM58" s="305"/>
      <c r="BN58" s="306"/>
      <c r="BO58" s="305"/>
      <c r="BP58" s="305"/>
      <c r="BQ58" s="305"/>
      <c r="BR58" s="305"/>
      <c r="BS58" s="305"/>
      <c r="BT58" s="305"/>
      <c r="BU58" s="305"/>
      <c r="BV58" s="306"/>
      <c r="BW58" s="305"/>
      <c r="BX58" s="305"/>
      <c r="BY58" s="305"/>
      <c r="BZ58" s="305"/>
      <c r="CA58" s="305"/>
      <c r="CB58" s="305"/>
      <c r="CC58" s="305"/>
      <c r="CD58" s="585"/>
      <c r="CE58" s="305"/>
    </row>
    <row r="59" spans="1:83" s="142" customFormat="1" ht="25.5" customHeight="1" x14ac:dyDescent="0.2">
      <c r="A59" s="598" t="s">
        <v>582</v>
      </c>
      <c r="B59" s="705" t="s">
        <v>460</v>
      </c>
      <c r="C59" s="705"/>
      <c r="D59" s="705"/>
      <c r="E59" s="705"/>
      <c r="F59" s="705"/>
      <c r="G59" s="705"/>
      <c r="H59" s="705"/>
      <c r="I59" s="594"/>
      <c r="J59" s="594"/>
      <c r="K59" s="595">
        <f>L59+SUM(Q59:Q59)</f>
        <v>204</v>
      </c>
      <c r="L59" s="595">
        <f>SUM(M59:P59)</f>
        <v>136</v>
      </c>
      <c r="M59" s="595">
        <f t="shared" ref="M59:P63" si="100">S59+Y59+AE59+AK59+AQ59+AW59+BC59+BI59+BP59+BX59</f>
        <v>36</v>
      </c>
      <c r="N59" s="595">
        <f t="shared" si="100"/>
        <v>100</v>
      </c>
      <c r="O59" s="595">
        <f t="shared" si="100"/>
        <v>0</v>
      </c>
      <c r="P59" s="595">
        <f t="shared" si="100"/>
        <v>0</v>
      </c>
      <c r="Q59" s="595">
        <f>W59+AC59+AI59+AO59+AU59+BA59+BG59+BM59+BU59+CC59</f>
        <v>68</v>
      </c>
      <c r="R59" s="595">
        <f>SUM(S59:W59)</f>
        <v>0</v>
      </c>
      <c r="S59" s="595">
        <f t="shared" ref="S59:W59" si="101">SUM(S62:S63)</f>
        <v>0</v>
      </c>
      <c r="T59" s="595">
        <f t="shared" si="101"/>
        <v>0</v>
      </c>
      <c r="U59" s="595">
        <f t="shared" si="101"/>
        <v>0</v>
      </c>
      <c r="V59" s="595">
        <f t="shared" si="101"/>
        <v>0</v>
      </c>
      <c r="W59" s="595">
        <f t="shared" si="101"/>
        <v>0</v>
      </c>
      <c r="X59" s="595">
        <f>SUM(Y59:AC59)</f>
        <v>0</v>
      </c>
      <c r="Y59" s="595">
        <f t="shared" ref="Y59:AC59" si="102">SUM(Y62:Y63)</f>
        <v>0</v>
      </c>
      <c r="Z59" s="595">
        <f t="shared" si="102"/>
        <v>0</v>
      </c>
      <c r="AA59" s="595">
        <f t="shared" si="102"/>
        <v>0</v>
      </c>
      <c r="AB59" s="595">
        <f t="shared" si="102"/>
        <v>0</v>
      </c>
      <c r="AC59" s="595">
        <f t="shared" si="102"/>
        <v>0</v>
      </c>
      <c r="AD59" s="595">
        <f>SUM(AE59:AI59)</f>
        <v>0</v>
      </c>
      <c r="AE59" s="595">
        <f t="shared" ref="AE59:AI59" si="103">SUM(AE62:AE63)</f>
        <v>0</v>
      </c>
      <c r="AF59" s="595">
        <f t="shared" si="103"/>
        <v>0</v>
      </c>
      <c r="AG59" s="595">
        <f t="shared" si="103"/>
        <v>0</v>
      </c>
      <c r="AH59" s="595">
        <f t="shared" si="103"/>
        <v>0</v>
      </c>
      <c r="AI59" s="595">
        <f t="shared" si="103"/>
        <v>0</v>
      </c>
      <c r="AJ59" s="595">
        <f>SUM(AK59:AO59)</f>
        <v>0</v>
      </c>
      <c r="AK59" s="595">
        <f t="shared" ref="AK59:AO59" si="104">SUM(AK62:AK63)</f>
        <v>0</v>
      </c>
      <c r="AL59" s="595">
        <f t="shared" si="104"/>
        <v>0</v>
      </c>
      <c r="AM59" s="595">
        <f t="shared" si="104"/>
        <v>0</v>
      </c>
      <c r="AN59" s="595">
        <f t="shared" si="104"/>
        <v>0</v>
      </c>
      <c r="AO59" s="595">
        <f t="shared" si="104"/>
        <v>0</v>
      </c>
      <c r="AP59" s="595">
        <f>SUM(AQ59:AU59)</f>
        <v>54</v>
      </c>
      <c r="AQ59" s="595">
        <f t="shared" ref="AQ59:AU59" si="105">SUM(AQ61:AQ63)</f>
        <v>36</v>
      </c>
      <c r="AR59" s="595">
        <f t="shared" si="105"/>
        <v>0</v>
      </c>
      <c r="AS59" s="595">
        <f t="shared" si="105"/>
        <v>0</v>
      </c>
      <c r="AT59" s="595">
        <f t="shared" si="105"/>
        <v>0</v>
      </c>
      <c r="AU59" s="595">
        <f t="shared" si="105"/>
        <v>18</v>
      </c>
      <c r="AV59" s="595">
        <f>SUM(AW59:BA59)</f>
        <v>0</v>
      </c>
      <c r="AW59" s="595">
        <f t="shared" ref="AW59:BA59" si="106">SUM(AW62:AW63)</f>
        <v>0</v>
      </c>
      <c r="AX59" s="595">
        <f t="shared" si="106"/>
        <v>0</v>
      </c>
      <c r="AY59" s="595">
        <f t="shared" si="106"/>
        <v>0</v>
      </c>
      <c r="AZ59" s="595">
        <f t="shared" si="106"/>
        <v>0</v>
      </c>
      <c r="BA59" s="595">
        <f t="shared" si="106"/>
        <v>0</v>
      </c>
      <c r="BB59" s="595">
        <f>SUM(BC59:BG59)</f>
        <v>0</v>
      </c>
      <c r="BC59" s="595">
        <f t="shared" ref="BC59:BG59" si="107">SUM(BC62:BC63)</f>
        <v>0</v>
      </c>
      <c r="BD59" s="595">
        <f t="shared" si="107"/>
        <v>0</v>
      </c>
      <c r="BE59" s="595">
        <f t="shared" si="107"/>
        <v>0</v>
      </c>
      <c r="BF59" s="595">
        <f t="shared" si="107"/>
        <v>0</v>
      </c>
      <c r="BG59" s="595">
        <f t="shared" si="107"/>
        <v>0</v>
      </c>
      <c r="BH59" s="595">
        <f>SUM(BI59:BM59)</f>
        <v>150</v>
      </c>
      <c r="BI59" s="595">
        <f t="shared" ref="BI59:BM59" si="108">SUM(BI61:BI63)</f>
        <v>0</v>
      </c>
      <c r="BJ59" s="595">
        <f t="shared" si="108"/>
        <v>100</v>
      </c>
      <c r="BK59" s="595">
        <f t="shared" si="108"/>
        <v>0</v>
      </c>
      <c r="BL59" s="595">
        <f t="shared" si="108"/>
        <v>0</v>
      </c>
      <c r="BM59" s="595">
        <f t="shared" si="108"/>
        <v>50</v>
      </c>
      <c r="BN59" s="595">
        <f t="shared" ref="BN59" si="109">SUM(BO59:BU59)</f>
        <v>0</v>
      </c>
      <c r="BO59" s="595">
        <f t="shared" ref="BO59:BU59" si="110">SUM(BO62:BO63)</f>
        <v>0</v>
      </c>
      <c r="BP59" s="595">
        <f t="shared" si="110"/>
        <v>0</v>
      </c>
      <c r="BQ59" s="595">
        <f t="shared" si="110"/>
        <v>0</v>
      </c>
      <c r="BR59" s="595">
        <f t="shared" si="110"/>
        <v>0</v>
      </c>
      <c r="BS59" s="595">
        <f t="shared" si="110"/>
        <v>0</v>
      </c>
      <c r="BT59" s="595">
        <f t="shared" si="110"/>
        <v>0</v>
      </c>
      <c r="BU59" s="595">
        <f t="shared" si="110"/>
        <v>0</v>
      </c>
      <c r="BV59" s="595">
        <f t="shared" ref="BV59" si="111">SUM(BW59:CC59)</f>
        <v>0</v>
      </c>
      <c r="BW59" s="595">
        <f t="shared" ref="BW59:CC59" si="112">SUM(BW62:BW63)</f>
        <v>0</v>
      </c>
      <c r="BX59" s="595">
        <f t="shared" si="112"/>
        <v>0</v>
      </c>
      <c r="BY59" s="595">
        <f t="shared" si="112"/>
        <v>0</v>
      </c>
      <c r="BZ59" s="595">
        <f t="shared" si="112"/>
        <v>0</v>
      </c>
      <c r="CA59" s="595">
        <f t="shared" si="112"/>
        <v>0</v>
      </c>
      <c r="CB59" s="595">
        <f t="shared" si="112"/>
        <v>0</v>
      </c>
      <c r="CC59" s="595">
        <f t="shared" si="112"/>
        <v>0</v>
      </c>
      <c r="CD59" s="596"/>
      <c r="CE59" s="597" t="s">
        <v>374</v>
      </c>
    </row>
    <row r="60" spans="1:83" s="142" customFormat="1" ht="25.5" customHeight="1" x14ac:dyDescent="0.2">
      <c r="A60" s="604" t="s">
        <v>583</v>
      </c>
      <c r="B60" s="706" t="s">
        <v>536</v>
      </c>
      <c r="C60" s="706"/>
      <c r="D60" s="706"/>
      <c r="E60" s="706"/>
      <c r="F60" s="706"/>
      <c r="G60" s="706"/>
      <c r="H60" s="706"/>
      <c r="I60" s="599"/>
      <c r="J60" s="599"/>
      <c r="K60" s="600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00"/>
      <c r="Y60" s="600"/>
      <c r="Z60" s="600"/>
      <c r="AA60" s="600"/>
      <c r="AB60" s="600"/>
      <c r="AC60" s="600"/>
      <c r="AD60" s="600"/>
      <c r="AE60" s="600"/>
      <c r="AF60" s="600"/>
      <c r="AG60" s="600"/>
      <c r="AH60" s="600"/>
      <c r="AI60" s="600"/>
      <c r="AJ60" s="600"/>
      <c r="AK60" s="600"/>
      <c r="AL60" s="600"/>
      <c r="AM60" s="600"/>
      <c r="AN60" s="600"/>
      <c r="AO60" s="600"/>
      <c r="AP60" s="600"/>
      <c r="AQ60" s="600"/>
      <c r="AR60" s="600"/>
      <c r="AS60" s="600"/>
      <c r="AT60" s="600"/>
      <c r="AU60" s="600"/>
      <c r="AV60" s="600"/>
      <c r="AW60" s="600"/>
      <c r="AX60" s="600"/>
      <c r="AY60" s="600"/>
      <c r="AZ60" s="600"/>
      <c r="BA60" s="600"/>
      <c r="BB60" s="600"/>
      <c r="BC60" s="600"/>
      <c r="BD60" s="600"/>
      <c r="BE60" s="600"/>
      <c r="BF60" s="600"/>
      <c r="BG60" s="600"/>
      <c r="BH60" s="600"/>
      <c r="BI60" s="600"/>
      <c r="BJ60" s="600"/>
      <c r="BK60" s="600"/>
      <c r="BL60" s="600"/>
      <c r="BM60" s="600"/>
      <c r="BN60" s="600"/>
      <c r="BO60" s="600"/>
      <c r="BP60" s="600"/>
      <c r="BQ60" s="600"/>
      <c r="BR60" s="600"/>
      <c r="BS60" s="600"/>
      <c r="BT60" s="600"/>
      <c r="BU60" s="600"/>
      <c r="BV60" s="600"/>
      <c r="BW60" s="600"/>
      <c r="BX60" s="600"/>
      <c r="BY60" s="600"/>
      <c r="BZ60" s="600"/>
      <c r="CA60" s="600"/>
      <c r="CB60" s="600"/>
      <c r="CC60" s="600"/>
      <c r="CD60" s="601"/>
      <c r="CE60" s="602" t="s">
        <v>374</v>
      </c>
    </row>
    <row r="61" spans="1:83" s="142" customFormat="1" ht="32.25" customHeight="1" x14ac:dyDescent="0.2">
      <c r="A61" s="584"/>
      <c r="B61" s="435" t="s">
        <v>536</v>
      </c>
      <c r="C61" s="134"/>
      <c r="D61" s="135"/>
      <c r="E61" s="135"/>
      <c r="F61" s="135" t="s">
        <v>37</v>
      </c>
      <c r="G61" s="135"/>
      <c r="H61" s="135"/>
      <c r="I61" s="139"/>
      <c r="J61" s="139"/>
      <c r="K61" s="138">
        <f>L61+SUM(Q61:Q61)</f>
        <v>150</v>
      </c>
      <c r="L61" s="138">
        <f>SUM(M61:P61)</f>
        <v>100</v>
      </c>
      <c r="M61" s="138">
        <f t="shared" si="100"/>
        <v>0</v>
      </c>
      <c r="N61" s="138">
        <f t="shared" si="100"/>
        <v>100</v>
      </c>
      <c r="O61" s="138">
        <f t="shared" si="100"/>
        <v>0</v>
      </c>
      <c r="P61" s="138">
        <f t="shared" si="100"/>
        <v>0</v>
      </c>
      <c r="Q61" s="138">
        <f>W61+AC61+AI61+AO61+AU61+BA61+BG61+BM61+BU61+CC61</f>
        <v>50</v>
      </c>
      <c r="R61" s="253"/>
      <c r="S61" s="139"/>
      <c r="T61" s="139"/>
      <c r="U61" s="139"/>
      <c r="V61" s="139"/>
      <c r="W61" s="139"/>
      <c r="X61" s="253"/>
      <c r="Y61" s="139"/>
      <c r="Z61" s="139"/>
      <c r="AA61" s="139"/>
      <c r="AB61" s="139"/>
      <c r="AC61" s="139"/>
      <c r="AD61" s="253"/>
      <c r="AE61" s="139"/>
      <c r="AF61" s="139"/>
      <c r="AG61" s="139"/>
      <c r="AH61" s="139"/>
      <c r="AI61" s="139"/>
      <c r="AJ61" s="253"/>
      <c r="AK61" s="139"/>
      <c r="AL61" s="139"/>
      <c r="AM61" s="139"/>
      <c r="AN61" s="139"/>
      <c r="AO61" s="139"/>
      <c r="AP61" s="253"/>
      <c r="AQ61" s="139"/>
      <c r="AR61" s="139"/>
      <c r="AS61" s="139"/>
      <c r="AT61" s="139"/>
      <c r="AU61" s="139"/>
      <c r="AV61" s="253"/>
      <c r="AW61" s="139"/>
      <c r="AX61" s="139"/>
      <c r="AY61" s="139"/>
      <c r="AZ61" s="139"/>
      <c r="BA61" s="139"/>
      <c r="BB61" s="253"/>
      <c r="BC61" s="139"/>
      <c r="BD61" s="139"/>
      <c r="BE61" s="139"/>
      <c r="BF61" s="139"/>
      <c r="BG61" s="139"/>
      <c r="BH61" s="253">
        <f>SUM(BI61:BM61)</f>
        <v>150</v>
      </c>
      <c r="BI61" s="139"/>
      <c r="BJ61" s="139">
        <v>100</v>
      </c>
      <c r="BK61" s="139"/>
      <c r="BL61" s="139"/>
      <c r="BM61" s="139">
        <v>50</v>
      </c>
      <c r="BN61" s="253"/>
      <c r="BO61" s="139"/>
      <c r="BP61" s="139"/>
      <c r="BQ61" s="139"/>
      <c r="BR61" s="139"/>
      <c r="BS61" s="139"/>
      <c r="BT61" s="139"/>
      <c r="BU61" s="139"/>
      <c r="BV61" s="253"/>
      <c r="BW61" s="139"/>
      <c r="BX61" s="139"/>
      <c r="BY61" s="139"/>
      <c r="BZ61" s="139"/>
      <c r="CA61" s="139"/>
      <c r="CB61" s="139"/>
      <c r="CC61" s="139"/>
      <c r="CD61" s="135" t="s">
        <v>514</v>
      </c>
      <c r="CE61" s="164" t="s">
        <v>374</v>
      </c>
    </row>
    <row r="62" spans="1:83" s="142" customFormat="1" ht="17.25" customHeight="1" x14ac:dyDescent="0.2">
      <c r="A62" s="584"/>
      <c r="B62" s="143" t="s">
        <v>539</v>
      </c>
      <c r="C62" s="143"/>
      <c r="D62" s="144"/>
      <c r="E62" s="144" t="s">
        <v>40</v>
      </c>
      <c r="F62" s="144"/>
      <c r="G62" s="144"/>
      <c r="H62" s="144"/>
      <c r="I62" s="139"/>
      <c r="J62" s="139"/>
      <c r="K62" s="138">
        <f>L62+SUM(Q62:Q62)</f>
        <v>54</v>
      </c>
      <c r="L62" s="138">
        <f>SUM(M62:P62)</f>
        <v>36</v>
      </c>
      <c r="M62" s="138">
        <f t="shared" si="100"/>
        <v>36</v>
      </c>
      <c r="N62" s="138">
        <f t="shared" si="100"/>
        <v>0</v>
      </c>
      <c r="O62" s="138">
        <f t="shared" si="100"/>
        <v>0</v>
      </c>
      <c r="P62" s="138">
        <f t="shared" si="100"/>
        <v>0</v>
      </c>
      <c r="Q62" s="138">
        <f>W62+AC62+AI62+AO62+AU62+BA62+BG62+BM62+BU62+CC62</f>
        <v>18</v>
      </c>
      <c r="R62" s="253"/>
      <c r="S62" s="139"/>
      <c r="T62" s="139"/>
      <c r="U62" s="139"/>
      <c r="V62" s="139"/>
      <c r="W62" s="139"/>
      <c r="X62" s="253"/>
      <c r="Y62" s="139"/>
      <c r="Z62" s="139"/>
      <c r="AA62" s="139"/>
      <c r="AB62" s="139"/>
      <c r="AC62" s="139"/>
      <c r="AD62" s="253"/>
      <c r="AE62" s="139"/>
      <c r="AF62" s="139"/>
      <c r="AG62" s="139"/>
      <c r="AH62" s="139"/>
      <c r="AI62" s="139"/>
      <c r="AJ62" s="253">
        <f>SUM(AK62:AO62)</f>
        <v>0</v>
      </c>
      <c r="AK62" s="139"/>
      <c r="AL62" s="139"/>
      <c r="AM62" s="139"/>
      <c r="AN62" s="139"/>
      <c r="AO62" s="139"/>
      <c r="AP62" s="253">
        <f>SUM(AQ62:AU62)</f>
        <v>54</v>
      </c>
      <c r="AQ62" s="139">
        <v>36</v>
      </c>
      <c r="AR62" s="139"/>
      <c r="AS62" s="139"/>
      <c r="AT62" s="139"/>
      <c r="AU62" s="139">
        <v>18</v>
      </c>
      <c r="AV62" s="253">
        <f>SUM(AW62:BA62)</f>
        <v>0</v>
      </c>
      <c r="AW62" s="139"/>
      <c r="AX62" s="139"/>
      <c r="AY62" s="139"/>
      <c r="AZ62" s="139"/>
      <c r="BA62" s="139"/>
      <c r="BB62" s="253">
        <f>SUM(BC62:BG62)</f>
        <v>0</v>
      </c>
      <c r="BC62" s="139"/>
      <c r="BD62" s="139"/>
      <c r="BE62" s="139"/>
      <c r="BF62" s="139"/>
      <c r="BG62" s="139"/>
      <c r="BH62" s="253">
        <f>SUM(BI62:BM62)</f>
        <v>0</v>
      </c>
      <c r="BI62" s="164"/>
      <c r="BJ62" s="164"/>
      <c r="BK62" s="164"/>
      <c r="BL62" s="164"/>
      <c r="BM62" s="164"/>
      <c r="BN62" s="253"/>
      <c r="BO62" s="139"/>
      <c r="BP62" s="139"/>
      <c r="BQ62" s="139"/>
      <c r="BR62" s="139"/>
      <c r="BS62" s="139"/>
      <c r="BT62" s="139"/>
      <c r="BU62" s="139"/>
      <c r="BV62" s="253"/>
      <c r="BW62" s="139"/>
      <c r="BX62" s="139"/>
      <c r="BY62" s="139"/>
      <c r="BZ62" s="139"/>
      <c r="CA62" s="139"/>
      <c r="CB62" s="139"/>
      <c r="CC62" s="139"/>
      <c r="CD62" s="135" t="s">
        <v>512</v>
      </c>
      <c r="CE62" s="164" t="s">
        <v>374</v>
      </c>
    </row>
    <row r="63" spans="1:83" s="142" customFormat="1" ht="28.5" hidden="1" customHeight="1" x14ac:dyDescent="0.2">
      <c r="A63" s="584"/>
      <c r="B63" s="143"/>
      <c r="C63" s="143"/>
      <c r="D63" s="143"/>
      <c r="E63" s="307"/>
      <c r="F63" s="143"/>
      <c r="G63" s="143"/>
      <c r="H63" s="143"/>
      <c r="I63" s="164"/>
      <c r="J63" s="164"/>
      <c r="K63" s="138">
        <f>L63+SUM(Q63:Q63)</f>
        <v>0</v>
      </c>
      <c r="L63" s="138">
        <f>SUM(M63:P63)</f>
        <v>0</v>
      </c>
      <c r="M63" s="138">
        <f t="shared" si="100"/>
        <v>0</v>
      </c>
      <c r="N63" s="138">
        <f t="shared" si="100"/>
        <v>0</v>
      </c>
      <c r="O63" s="138">
        <f t="shared" si="100"/>
        <v>0</v>
      </c>
      <c r="P63" s="138">
        <f t="shared" si="100"/>
        <v>0</v>
      </c>
      <c r="Q63" s="138">
        <f>W63+AC63+AI63+AO63+AU63+BA63+BG63+BM63+BU63+CC63</f>
        <v>0</v>
      </c>
      <c r="R63" s="253"/>
      <c r="S63" s="289"/>
      <c r="T63" s="289"/>
      <c r="U63" s="164"/>
      <c r="V63" s="164"/>
      <c r="W63" s="164"/>
      <c r="X63" s="253"/>
      <c r="Y63" s="164"/>
      <c r="Z63" s="164"/>
      <c r="AA63" s="164"/>
      <c r="AB63" s="164"/>
      <c r="AC63" s="164"/>
      <c r="AD63" s="253"/>
      <c r="AE63" s="164"/>
      <c r="AF63" s="164"/>
      <c r="AG63" s="164"/>
      <c r="AH63" s="164"/>
      <c r="AI63" s="164"/>
      <c r="AJ63" s="253">
        <f>SUM(AK63:AO63)</f>
        <v>0</v>
      </c>
      <c r="AK63" s="164"/>
      <c r="AL63" s="164"/>
      <c r="AM63" s="164"/>
      <c r="AN63" s="164"/>
      <c r="AO63" s="164"/>
      <c r="AP63" s="253">
        <f>SUM(AQ63:AU63)</f>
        <v>0</v>
      </c>
      <c r="AQ63" s="164"/>
      <c r="AR63" s="164"/>
      <c r="AS63" s="164"/>
      <c r="AT63" s="164"/>
      <c r="AU63" s="164"/>
      <c r="AV63" s="253">
        <f>SUM(AW63:BA63)</f>
        <v>0</v>
      </c>
      <c r="AW63" s="164"/>
      <c r="AX63" s="164"/>
      <c r="AY63" s="164"/>
      <c r="AZ63" s="164"/>
      <c r="BA63" s="164"/>
      <c r="BB63" s="253">
        <f>SUM(BC63:BG63)</f>
        <v>0</v>
      </c>
      <c r="BC63" s="164"/>
      <c r="BD63" s="164"/>
      <c r="BE63" s="164"/>
      <c r="BF63" s="164"/>
      <c r="BG63" s="164"/>
      <c r="BH63" s="253">
        <f>SUM(BI63:BM63)</f>
        <v>0</v>
      </c>
      <c r="BI63" s="164"/>
      <c r="BJ63" s="164"/>
      <c r="BK63" s="164"/>
      <c r="BL63" s="164"/>
      <c r="BM63" s="164"/>
      <c r="BN63" s="289"/>
      <c r="BO63" s="164"/>
      <c r="BP63" s="164"/>
      <c r="BQ63" s="164"/>
      <c r="BR63" s="164"/>
      <c r="BS63" s="164"/>
      <c r="BT63" s="164"/>
      <c r="BU63" s="164"/>
      <c r="BV63" s="289"/>
      <c r="BW63" s="164"/>
      <c r="BX63" s="164"/>
      <c r="BY63" s="164"/>
      <c r="BZ63" s="164"/>
      <c r="CA63" s="164"/>
      <c r="CB63" s="164"/>
      <c r="CC63" s="164"/>
      <c r="CD63" s="135"/>
      <c r="CE63" s="164"/>
    </row>
    <row r="64" spans="1:83" s="142" customFormat="1" x14ac:dyDescent="0.2">
      <c r="A64" s="304" t="s">
        <v>420</v>
      </c>
      <c r="B64" s="304"/>
      <c r="C64" s="304"/>
      <c r="D64" s="433" t="s">
        <v>37</v>
      </c>
      <c r="E64" s="323"/>
      <c r="F64" s="304"/>
      <c r="G64" s="304"/>
      <c r="H64" s="304"/>
      <c r="I64" s="305"/>
      <c r="J64" s="305"/>
      <c r="K64" s="306"/>
      <c r="L64" s="306"/>
      <c r="M64" s="306"/>
      <c r="N64" s="306"/>
      <c r="O64" s="306"/>
      <c r="P64" s="306"/>
      <c r="Q64" s="306"/>
      <c r="R64" s="306"/>
      <c r="S64" s="305"/>
      <c r="T64" s="305"/>
      <c r="U64" s="305"/>
      <c r="V64" s="305"/>
      <c r="W64" s="305"/>
      <c r="X64" s="306"/>
      <c r="Y64" s="305"/>
      <c r="Z64" s="305"/>
      <c r="AA64" s="305"/>
      <c r="AB64" s="305"/>
      <c r="AC64" s="305"/>
      <c r="AD64" s="306"/>
      <c r="AE64" s="305"/>
      <c r="AF64" s="305"/>
      <c r="AG64" s="305"/>
      <c r="AH64" s="305"/>
      <c r="AI64" s="305"/>
      <c r="AJ64" s="306"/>
      <c r="AK64" s="305"/>
      <c r="AL64" s="305"/>
      <c r="AM64" s="305"/>
      <c r="AN64" s="305"/>
      <c r="AO64" s="305"/>
      <c r="AP64" s="306"/>
      <c r="AQ64" s="305"/>
      <c r="AR64" s="305"/>
      <c r="AS64" s="305"/>
      <c r="AT64" s="305"/>
      <c r="AU64" s="305"/>
      <c r="AV64" s="306"/>
      <c r="AW64" s="305"/>
      <c r="AX64" s="305"/>
      <c r="AY64" s="305"/>
      <c r="AZ64" s="305"/>
      <c r="BA64" s="305"/>
      <c r="BB64" s="306"/>
      <c r="BC64" s="305"/>
      <c r="BD64" s="305"/>
      <c r="BE64" s="305"/>
      <c r="BF64" s="305"/>
      <c r="BG64" s="305"/>
      <c r="BH64" s="306"/>
      <c r="BI64" s="305"/>
      <c r="BJ64" s="305"/>
      <c r="BK64" s="305"/>
      <c r="BL64" s="305"/>
      <c r="BM64" s="305"/>
      <c r="BN64" s="306"/>
      <c r="BO64" s="305"/>
      <c r="BP64" s="305"/>
      <c r="BQ64" s="305"/>
      <c r="BR64" s="305"/>
      <c r="BS64" s="305"/>
      <c r="BT64" s="305"/>
      <c r="BU64" s="305"/>
      <c r="BV64" s="306"/>
      <c r="BW64" s="305"/>
      <c r="BX64" s="305"/>
      <c r="BY64" s="305"/>
      <c r="BZ64" s="305"/>
      <c r="CA64" s="305"/>
      <c r="CB64" s="305"/>
      <c r="CC64" s="305"/>
      <c r="CD64" s="585"/>
      <c r="CE64" s="305"/>
    </row>
    <row r="65" spans="1:83" s="142" customFormat="1" ht="25.5" customHeight="1" x14ac:dyDescent="0.2">
      <c r="A65" s="598" t="s">
        <v>193</v>
      </c>
      <c r="B65" s="705" t="s">
        <v>501</v>
      </c>
      <c r="C65" s="705"/>
      <c r="D65" s="705"/>
      <c r="E65" s="705"/>
      <c r="F65" s="705"/>
      <c r="G65" s="705"/>
      <c r="H65" s="705"/>
      <c r="I65" s="594"/>
      <c r="J65" s="594"/>
      <c r="K65" s="595">
        <f>L65+SUM(Q65:Q65)</f>
        <v>161</v>
      </c>
      <c r="L65" s="595">
        <f>SUM(M65:P65)</f>
        <v>107</v>
      </c>
      <c r="M65" s="595">
        <f t="shared" ref="M65:P68" si="113">S65+Y65+AE65+AK65+AQ65+AW65+BC65+BI65+BP65+BX65</f>
        <v>77</v>
      </c>
      <c r="N65" s="595">
        <f t="shared" si="113"/>
        <v>0</v>
      </c>
      <c r="O65" s="595">
        <f t="shared" si="113"/>
        <v>30</v>
      </c>
      <c r="P65" s="595">
        <f t="shared" si="113"/>
        <v>0</v>
      </c>
      <c r="Q65" s="595">
        <f>W65+AC65+AI65+AO65+AU65+BA65+BG65+BM65+BU65+CC65</f>
        <v>54</v>
      </c>
      <c r="R65" s="595">
        <f>SUM(S65:W65)</f>
        <v>0</v>
      </c>
      <c r="S65" s="595">
        <f t="shared" ref="S65:W65" si="114">SUM(S67:S68)</f>
        <v>0</v>
      </c>
      <c r="T65" s="595">
        <f t="shared" si="114"/>
        <v>0</v>
      </c>
      <c r="U65" s="595">
        <f t="shared" si="114"/>
        <v>0</v>
      </c>
      <c r="V65" s="595">
        <f t="shared" si="114"/>
        <v>0</v>
      </c>
      <c r="W65" s="595">
        <f t="shared" si="114"/>
        <v>0</v>
      </c>
      <c r="X65" s="595">
        <f>SUM(Y65:AC65)</f>
        <v>0</v>
      </c>
      <c r="Y65" s="595">
        <f t="shared" ref="Y65:AC65" si="115">SUM(Y67:Y68)</f>
        <v>0</v>
      </c>
      <c r="Z65" s="595">
        <f t="shared" si="115"/>
        <v>0</v>
      </c>
      <c r="AA65" s="595">
        <f t="shared" si="115"/>
        <v>0</v>
      </c>
      <c r="AB65" s="595">
        <f t="shared" si="115"/>
        <v>0</v>
      </c>
      <c r="AC65" s="595">
        <f t="shared" si="115"/>
        <v>0</v>
      </c>
      <c r="AD65" s="595">
        <f>SUM(AE65:AI65)</f>
        <v>0</v>
      </c>
      <c r="AE65" s="595">
        <f t="shared" ref="AE65:AI65" si="116">SUM(AE67:AE68)</f>
        <v>0</v>
      </c>
      <c r="AF65" s="595">
        <f t="shared" si="116"/>
        <v>0</v>
      </c>
      <c r="AG65" s="595">
        <f t="shared" si="116"/>
        <v>0</v>
      </c>
      <c r="AH65" s="595">
        <f t="shared" si="116"/>
        <v>0</v>
      </c>
      <c r="AI65" s="595">
        <f t="shared" si="116"/>
        <v>0</v>
      </c>
      <c r="AJ65" s="595">
        <f>SUM(AK65:AO65)</f>
        <v>0</v>
      </c>
      <c r="AK65" s="595">
        <f t="shared" ref="AK65:AO65" si="117">SUM(AK67:AK68)</f>
        <v>0</v>
      </c>
      <c r="AL65" s="595">
        <f t="shared" si="117"/>
        <v>0</v>
      </c>
      <c r="AM65" s="595">
        <f t="shared" si="117"/>
        <v>0</v>
      </c>
      <c r="AN65" s="595">
        <f t="shared" si="117"/>
        <v>0</v>
      </c>
      <c r="AO65" s="595">
        <f t="shared" si="117"/>
        <v>0</v>
      </c>
      <c r="AP65" s="595">
        <f>SUM(AQ65:AU65)</f>
        <v>54</v>
      </c>
      <c r="AQ65" s="595">
        <f t="shared" ref="AQ65:AU65" si="118">SUM(AQ67:AQ68)</f>
        <v>36</v>
      </c>
      <c r="AR65" s="595">
        <f t="shared" si="118"/>
        <v>0</v>
      </c>
      <c r="AS65" s="595">
        <f t="shared" si="118"/>
        <v>0</v>
      </c>
      <c r="AT65" s="595">
        <f t="shared" si="118"/>
        <v>0</v>
      </c>
      <c r="AU65" s="595">
        <f t="shared" si="118"/>
        <v>18</v>
      </c>
      <c r="AV65" s="595">
        <f>SUM(AW65:BA65)</f>
        <v>0</v>
      </c>
      <c r="AW65" s="595">
        <f t="shared" ref="AW65:BA65" si="119">SUM(AW67:AW68)</f>
        <v>0</v>
      </c>
      <c r="AX65" s="595">
        <f t="shared" si="119"/>
        <v>0</v>
      </c>
      <c r="AY65" s="595">
        <f t="shared" si="119"/>
        <v>0</v>
      </c>
      <c r="AZ65" s="595">
        <f t="shared" si="119"/>
        <v>0</v>
      </c>
      <c r="BA65" s="595">
        <f t="shared" si="119"/>
        <v>0</v>
      </c>
      <c r="BB65" s="595">
        <f>SUM(BC65:BG65)</f>
        <v>0</v>
      </c>
      <c r="BC65" s="595">
        <f t="shared" ref="BC65:BG65" si="120">SUM(BC67:BC68)</f>
        <v>0</v>
      </c>
      <c r="BD65" s="595">
        <f t="shared" si="120"/>
        <v>0</v>
      </c>
      <c r="BE65" s="595">
        <f t="shared" si="120"/>
        <v>0</v>
      </c>
      <c r="BF65" s="595">
        <f t="shared" si="120"/>
        <v>0</v>
      </c>
      <c r="BG65" s="595">
        <f t="shared" si="120"/>
        <v>0</v>
      </c>
      <c r="BH65" s="595">
        <f>SUM(BI65:BM65)</f>
        <v>107</v>
      </c>
      <c r="BI65" s="595">
        <f t="shared" ref="BI65:BM65" si="121">SUM(BI67:BI68)</f>
        <v>41</v>
      </c>
      <c r="BJ65" s="595">
        <f t="shared" si="121"/>
        <v>0</v>
      </c>
      <c r="BK65" s="595">
        <f t="shared" si="121"/>
        <v>30</v>
      </c>
      <c r="BL65" s="595">
        <f t="shared" si="121"/>
        <v>0</v>
      </c>
      <c r="BM65" s="595">
        <f t="shared" si="121"/>
        <v>36</v>
      </c>
      <c r="BN65" s="595">
        <f t="shared" ref="BN65:BN67" si="122">SUM(BO65:BU65)</f>
        <v>0</v>
      </c>
      <c r="BO65" s="595">
        <f t="shared" ref="BO65:BU65" si="123">SUM(BO67:BO68)</f>
        <v>0</v>
      </c>
      <c r="BP65" s="595">
        <f t="shared" si="123"/>
        <v>0</v>
      </c>
      <c r="BQ65" s="595">
        <f t="shared" si="123"/>
        <v>0</v>
      </c>
      <c r="BR65" s="595">
        <f t="shared" si="123"/>
        <v>0</v>
      </c>
      <c r="BS65" s="595">
        <f t="shared" si="123"/>
        <v>0</v>
      </c>
      <c r="BT65" s="595">
        <f t="shared" si="123"/>
        <v>0</v>
      </c>
      <c r="BU65" s="595">
        <f t="shared" si="123"/>
        <v>0</v>
      </c>
      <c r="BV65" s="595">
        <f t="shared" ref="BV65:BV67" si="124">SUM(BW65:CC65)</f>
        <v>0</v>
      </c>
      <c r="BW65" s="595">
        <f t="shared" ref="BW65:CC65" si="125">SUM(BW67:BW68)</f>
        <v>0</v>
      </c>
      <c r="BX65" s="595">
        <f t="shared" si="125"/>
        <v>0</v>
      </c>
      <c r="BY65" s="595">
        <f t="shared" si="125"/>
        <v>0</v>
      </c>
      <c r="BZ65" s="595">
        <f t="shared" si="125"/>
        <v>0</v>
      </c>
      <c r="CA65" s="595">
        <f t="shared" si="125"/>
        <v>0</v>
      </c>
      <c r="CB65" s="595">
        <f t="shared" si="125"/>
        <v>0</v>
      </c>
      <c r="CC65" s="595">
        <f t="shared" si="125"/>
        <v>0</v>
      </c>
      <c r="CD65" s="596"/>
      <c r="CE65" s="597" t="s">
        <v>375</v>
      </c>
    </row>
    <row r="66" spans="1:83" s="142" customFormat="1" ht="25.5" customHeight="1" x14ac:dyDescent="0.2">
      <c r="A66" s="604" t="s">
        <v>500</v>
      </c>
      <c r="B66" s="706" t="s">
        <v>587</v>
      </c>
      <c r="C66" s="706"/>
      <c r="D66" s="706"/>
      <c r="E66" s="706"/>
      <c r="F66" s="706"/>
      <c r="G66" s="706"/>
      <c r="H66" s="706"/>
      <c r="I66" s="599"/>
      <c r="J66" s="599"/>
      <c r="K66" s="600"/>
      <c r="L66" s="600"/>
      <c r="M66" s="600"/>
      <c r="N66" s="600"/>
      <c r="O66" s="600"/>
      <c r="P66" s="600"/>
      <c r="Q66" s="600"/>
      <c r="R66" s="600"/>
      <c r="S66" s="600"/>
      <c r="T66" s="600"/>
      <c r="U66" s="600"/>
      <c r="V66" s="600"/>
      <c r="W66" s="600"/>
      <c r="X66" s="600"/>
      <c r="Y66" s="600"/>
      <c r="Z66" s="600"/>
      <c r="AA66" s="600"/>
      <c r="AB66" s="600"/>
      <c r="AC66" s="600"/>
      <c r="AD66" s="600"/>
      <c r="AE66" s="600"/>
      <c r="AF66" s="600"/>
      <c r="AG66" s="600"/>
      <c r="AH66" s="600"/>
      <c r="AI66" s="600"/>
      <c r="AJ66" s="600"/>
      <c r="AK66" s="600"/>
      <c r="AL66" s="600"/>
      <c r="AM66" s="600"/>
      <c r="AN66" s="600"/>
      <c r="AO66" s="600"/>
      <c r="AP66" s="600"/>
      <c r="AQ66" s="600"/>
      <c r="AR66" s="600"/>
      <c r="AS66" s="600"/>
      <c r="AT66" s="600"/>
      <c r="AU66" s="600"/>
      <c r="AV66" s="600"/>
      <c r="AW66" s="600"/>
      <c r="AX66" s="600"/>
      <c r="AY66" s="600"/>
      <c r="AZ66" s="600"/>
      <c r="BA66" s="600"/>
      <c r="BB66" s="600"/>
      <c r="BC66" s="600"/>
      <c r="BD66" s="600"/>
      <c r="BE66" s="600"/>
      <c r="BF66" s="600"/>
      <c r="BG66" s="600"/>
      <c r="BH66" s="600"/>
      <c r="BI66" s="600"/>
      <c r="BJ66" s="600"/>
      <c r="BK66" s="600"/>
      <c r="BL66" s="600"/>
      <c r="BM66" s="600"/>
      <c r="BN66" s="600"/>
      <c r="BO66" s="600"/>
      <c r="BP66" s="600"/>
      <c r="BQ66" s="600"/>
      <c r="BR66" s="600"/>
      <c r="BS66" s="600"/>
      <c r="BT66" s="600"/>
      <c r="BU66" s="600"/>
      <c r="BV66" s="600"/>
      <c r="BW66" s="600"/>
      <c r="BX66" s="600"/>
      <c r="BY66" s="600"/>
      <c r="BZ66" s="600"/>
      <c r="CA66" s="600"/>
      <c r="CB66" s="600"/>
      <c r="CC66" s="600"/>
      <c r="CD66" s="601"/>
      <c r="CE66" s="602" t="s">
        <v>425</v>
      </c>
    </row>
    <row r="67" spans="1:83" s="142" customFormat="1" ht="28.5" customHeight="1" x14ac:dyDescent="0.2">
      <c r="A67" s="584"/>
      <c r="B67" s="143" t="s">
        <v>542</v>
      </c>
      <c r="C67" s="134"/>
      <c r="D67" s="135"/>
      <c r="E67" s="135" t="s">
        <v>40</v>
      </c>
      <c r="F67" s="135"/>
      <c r="G67" s="135"/>
      <c r="H67" s="135"/>
      <c r="I67" s="139"/>
      <c r="J67" s="139"/>
      <c r="K67" s="138">
        <f>L67+SUM(Q67:Q67)</f>
        <v>54</v>
      </c>
      <c r="L67" s="138">
        <f>SUM(M67:P67)</f>
        <v>36</v>
      </c>
      <c r="M67" s="138">
        <f t="shared" si="113"/>
        <v>36</v>
      </c>
      <c r="N67" s="138">
        <f t="shared" si="113"/>
        <v>0</v>
      </c>
      <c r="O67" s="138">
        <f t="shared" si="113"/>
        <v>0</v>
      </c>
      <c r="P67" s="138">
        <f t="shared" si="113"/>
        <v>0</v>
      </c>
      <c r="Q67" s="138">
        <f>W67+AC67+AI67+AO67+AU67+BA67+BG67+BM67+BU67+CC67</f>
        <v>18</v>
      </c>
      <c r="R67" s="253">
        <f>SUM(S67:W67)</f>
        <v>0</v>
      </c>
      <c r="S67" s="139"/>
      <c r="T67" s="139"/>
      <c r="U67" s="139"/>
      <c r="V67" s="139"/>
      <c r="W67" s="139"/>
      <c r="X67" s="253">
        <f>SUM(Y67:AC67)</f>
        <v>0</v>
      </c>
      <c r="Y67" s="139"/>
      <c r="Z67" s="139"/>
      <c r="AA67" s="139"/>
      <c r="AB67" s="139"/>
      <c r="AC67" s="139"/>
      <c r="AD67" s="253">
        <f>SUM(AE67:AI67)</f>
        <v>0</v>
      </c>
      <c r="AE67" s="139"/>
      <c r="AF67" s="139"/>
      <c r="AG67" s="139"/>
      <c r="AH67" s="139"/>
      <c r="AI67" s="139"/>
      <c r="AJ67" s="253">
        <f>SUM(AK67:AO67)</f>
        <v>0</v>
      </c>
      <c r="AK67" s="139"/>
      <c r="AL67" s="139"/>
      <c r="AM67" s="139"/>
      <c r="AN67" s="139"/>
      <c r="AO67" s="139"/>
      <c r="AP67" s="253">
        <f>SUM(AQ67:AU67)</f>
        <v>54</v>
      </c>
      <c r="AQ67" s="164">
        <v>36</v>
      </c>
      <c r="AR67" s="139"/>
      <c r="AS67" s="139"/>
      <c r="AT67" s="139"/>
      <c r="AU67" s="139">
        <v>18</v>
      </c>
      <c r="AV67" s="253">
        <f>SUM(AW67:BA67)</f>
        <v>0</v>
      </c>
      <c r="AW67" s="139"/>
      <c r="AX67" s="139"/>
      <c r="AY67" s="139"/>
      <c r="AZ67" s="139"/>
      <c r="BA67" s="139"/>
      <c r="BB67" s="253">
        <f>SUM(BC67:BG67)</f>
        <v>0</v>
      </c>
      <c r="BC67" s="139"/>
      <c r="BD67" s="139"/>
      <c r="BE67" s="139"/>
      <c r="BF67" s="139"/>
      <c r="BG67" s="139"/>
      <c r="BH67" s="253">
        <f>SUM(BI67:BM67)</f>
        <v>0</v>
      </c>
      <c r="BI67" s="139"/>
      <c r="BJ67" s="139"/>
      <c r="BK67" s="139"/>
      <c r="BL67" s="139"/>
      <c r="BM67" s="139"/>
      <c r="BN67" s="253">
        <f t="shared" si="122"/>
        <v>0</v>
      </c>
      <c r="BO67" s="139"/>
      <c r="BP67" s="139"/>
      <c r="BQ67" s="139"/>
      <c r="BR67" s="139"/>
      <c r="BS67" s="139"/>
      <c r="BT67" s="139"/>
      <c r="BU67" s="139"/>
      <c r="BV67" s="253">
        <f t="shared" si="124"/>
        <v>0</v>
      </c>
      <c r="BW67" s="139"/>
      <c r="BX67" s="139"/>
      <c r="BY67" s="139"/>
      <c r="BZ67" s="139"/>
      <c r="CA67" s="139"/>
      <c r="CB67" s="139"/>
      <c r="CC67" s="139"/>
      <c r="CD67" s="135" t="s">
        <v>516</v>
      </c>
      <c r="CE67" s="164" t="s">
        <v>425</v>
      </c>
    </row>
    <row r="68" spans="1:83" s="142" customFormat="1" ht="27.75" customHeight="1" x14ac:dyDescent="0.2">
      <c r="A68" s="584"/>
      <c r="B68" s="143" t="s">
        <v>543</v>
      </c>
      <c r="C68" s="134"/>
      <c r="D68" s="135"/>
      <c r="E68" s="490" t="s">
        <v>37</v>
      </c>
      <c r="F68" s="135"/>
      <c r="G68" s="490" t="s">
        <v>37</v>
      </c>
      <c r="H68" s="135"/>
      <c r="I68" s="139"/>
      <c r="J68" s="139"/>
      <c r="K68" s="138">
        <f>L68+SUM(Q68:Q68)</f>
        <v>107</v>
      </c>
      <c r="L68" s="138">
        <f>SUM(M68:P68)</f>
        <v>71</v>
      </c>
      <c r="M68" s="138">
        <f t="shared" si="113"/>
        <v>41</v>
      </c>
      <c r="N68" s="138">
        <f t="shared" si="113"/>
        <v>0</v>
      </c>
      <c r="O68" s="138">
        <f t="shared" si="113"/>
        <v>30</v>
      </c>
      <c r="P68" s="138">
        <f t="shared" si="113"/>
        <v>0</v>
      </c>
      <c r="Q68" s="138">
        <f>W68+AC68+AI68+AO68+AU68+BA68+BG68+BM68+BU68+CC68</f>
        <v>36</v>
      </c>
      <c r="R68" s="253">
        <f>SUM(S68:W68)</f>
        <v>0</v>
      </c>
      <c r="S68" s="139"/>
      <c r="T68" s="139"/>
      <c r="U68" s="139"/>
      <c r="V68" s="139"/>
      <c r="W68" s="139"/>
      <c r="X68" s="253">
        <f>SUM(Y68:AC68)</f>
        <v>0</v>
      </c>
      <c r="Y68" s="139"/>
      <c r="Z68" s="139"/>
      <c r="AA68" s="139"/>
      <c r="AB68" s="139"/>
      <c r="AC68" s="139"/>
      <c r="AD68" s="253">
        <f>SUM(AE68:AI68)</f>
        <v>0</v>
      </c>
      <c r="AE68" s="139"/>
      <c r="AF68" s="139"/>
      <c r="AG68" s="139"/>
      <c r="AH68" s="139"/>
      <c r="AI68" s="139"/>
      <c r="AJ68" s="253">
        <f>SUM(AK68:AO68)</f>
        <v>0</v>
      </c>
      <c r="AK68" s="139"/>
      <c r="AL68" s="139"/>
      <c r="AM68" s="139"/>
      <c r="AN68" s="139"/>
      <c r="AO68" s="139"/>
      <c r="AP68" s="253">
        <f>SUM(AQ68:AU68)</f>
        <v>0</v>
      </c>
      <c r="AQ68" s="139"/>
      <c r="AR68" s="139"/>
      <c r="AS68" s="139"/>
      <c r="AT68" s="139"/>
      <c r="AU68" s="139"/>
      <c r="AV68" s="253">
        <f>SUM(AW68:BA68)</f>
        <v>0</v>
      </c>
      <c r="AW68" s="139"/>
      <c r="AX68" s="139"/>
      <c r="AY68" s="139"/>
      <c r="AZ68" s="139"/>
      <c r="BA68" s="139"/>
      <c r="BB68" s="253">
        <f>SUM(BC68:BG68)</f>
        <v>0</v>
      </c>
      <c r="BC68" s="139"/>
      <c r="BD68" s="139"/>
      <c r="BE68" s="139"/>
      <c r="BF68" s="139"/>
      <c r="BG68" s="139"/>
      <c r="BH68" s="253">
        <f>SUM(BI68:BM68)</f>
        <v>107</v>
      </c>
      <c r="BI68" s="139">
        <v>41</v>
      </c>
      <c r="BJ68" s="139"/>
      <c r="BK68" s="139">
        <v>30</v>
      </c>
      <c r="BL68" s="139"/>
      <c r="BM68" s="139">
        <v>36</v>
      </c>
      <c r="BN68" s="253">
        <f t="shared" ref="BN68" si="126">SUM(BO68:BU68)</f>
        <v>0</v>
      </c>
      <c r="BO68" s="139"/>
      <c r="BP68" s="139"/>
      <c r="BQ68" s="139"/>
      <c r="BR68" s="139"/>
      <c r="BS68" s="139"/>
      <c r="BT68" s="139"/>
      <c r="BU68" s="139"/>
      <c r="BV68" s="253">
        <f t="shared" ref="BV68" si="127">SUM(BW68:CC68)</f>
        <v>0</v>
      </c>
      <c r="BW68" s="139"/>
      <c r="BX68" s="139"/>
      <c r="BY68" s="139"/>
      <c r="BZ68" s="139"/>
      <c r="CA68" s="139"/>
      <c r="CB68" s="139"/>
      <c r="CC68" s="139"/>
      <c r="CD68" s="135" t="s">
        <v>516</v>
      </c>
      <c r="CE68" s="164" t="s">
        <v>425</v>
      </c>
    </row>
    <row r="69" spans="1:83" s="142" customFormat="1" x14ac:dyDescent="0.2">
      <c r="A69" s="304" t="s">
        <v>420</v>
      </c>
      <c r="B69" s="304"/>
      <c r="C69" s="304"/>
      <c r="D69" s="322" t="s">
        <v>37</v>
      </c>
      <c r="E69" s="304"/>
      <c r="F69" s="304"/>
      <c r="G69" s="304"/>
      <c r="H69" s="304"/>
      <c r="I69" s="305"/>
      <c r="J69" s="305"/>
      <c r="K69" s="306"/>
      <c r="L69" s="306"/>
      <c r="M69" s="306"/>
      <c r="N69" s="306"/>
      <c r="O69" s="306"/>
      <c r="P69" s="306"/>
      <c r="Q69" s="306"/>
      <c r="R69" s="306"/>
      <c r="S69" s="305"/>
      <c r="T69" s="305"/>
      <c r="U69" s="305"/>
      <c r="V69" s="305"/>
      <c r="W69" s="305"/>
      <c r="X69" s="306"/>
      <c r="Y69" s="305"/>
      <c r="Z69" s="305"/>
      <c r="AA69" s="305"/>
      <c r="AB69" s="305"/>
      <c r="AC69" s="305"/>
      <c r="AD69" s="306"/>
      <c r="AE69" s="305"/>
      <c r="AF69" s="305"/>
      <c r="AG69" s="305"/>
      <c r="AH69" s="305"/>
      <c r="AI69" s="305"/>
      <c r="AJ69" s="306"/>
      <c r="AK69" s="305"/>
      <c r="AL69" s="305"/>
      <c r="AM69" s="305"/>
      <c r="AN69" s="305"/>
      <c r="AO69" s="305"/>
      <c r="AP69" s="306"/>
      <c r="AQ69" s="305"/>
      <c r="AR69" s="305"/>
      <c r="AS69" s="305"/>
      <c r="AT69" s="305"/>
      <c r="AU69" s="305"/>
      <c r="AV69" s="306"/>
      <c r="AW69" s="305"/>
      <c r="AX69" s="305"/>
      <c r="AY69" s="305"/>
      <c r="AZ69" s="305"/>
      <c r="BA69" s="305"/>
      <c r="BB69" s="306"/>
      <c r="BC69" s="305"/>
      <c r="BD69" s="305"/>
      <c r="BE69" s="305"/>
      <c r="BF69" s="305"/>
      <c r="BG69" s="305"/>
      <c r="BH69" s="306"/>
      <c r="BI69" s="305"/>
      <c r="BJ69" s="305"/>
      <c r="BK69" s="305"/>
      <c r="BL69" s="305"/>
      <c r="BM69" s="305"/>
      <c r="BN69" s="306"/>
      <c r="BO69" s="305"/>
      <c r="BP69" s="305"/>
      <c r="BQ69" s="305"/>
      <c r="BR69" s="305"/>
      <c r="BS69" s="305"/>
      <c r="BT69" s="305"/>
      <c r="BU69" s="305"/>
      <c r="BV69" s="306"/>
      <c r="BW69" s="305"/>
      <c r="BX69" s="305"/>
      <c r="BY69" s="305"/>
      <c r="BZ69" s="305"/>
      <c r="CA69" s="305"/>
      <c r="CB69" s="305"/>
      <c r="CC69" s="305"/>
      <c r="CD69" s="585"/>
      <c r="CE69" s="305"/>
    </row>
    <row r="70" spans="1:83" s="142" customFormat="1" ht="33" customHeight="1" x14ac:dyDescent="0.2">
      <c r="A70" s="598" t="s">
        <v>194</v>
      </c>
      <c r="B70" s="705" t="s">
        <v>195</v>
      </c>
      <c r="C70" s="705"/>
      <c r="D70" s="705"/>
      <c r="E70" s="705"/>
      <c r="F70" s="705"/>
      <c r="G70" s="705"/>
      <c r="H70" s="705"/>
      <c r="I70" s="594"/>
      <c r="J70" s="594"/>
      <c r="K70" s="595">
        <f>L70+SUM(Q70:Q70)</f>
        <v>105</v>
      </c>
      <c r="L70" s="595">
        <f>SUM(M70:P70)</f>
        <v>70</v>
      </c>
      <c r="M70" s="595">
        <f t="shared" ref="M70:P72" si="128">S70+Y70+AE70+AK70+AQ70+AW70+BC70+BI70+BP70+BX70</f>
        <v>62</v>
      </c>
      <c r="N70" s="595">
        <f t="shared" si="128"/>
        <v>8</v>
      </c>
      <c r="O70" s="595">
        <f t="shared" si="128"/>
        <v>0</v>
      </c>
      <c r="P70" s="595">
        <f t="shared" si="128"/>
        <v>0</v>
      </c>
      <c r="Q70" s="595">
        <f>W70+AC70+AI70+AO70+AU70+BA70+BG70+BM70+BU70+CC70</f>
        <v>35</v>
      </c>
      <c r="R70" s="595">
        <f>SUM(S70:W70)</f>
        <v>0</v>
      </c>
      <c r="S70" s="595">
        <f t="shared" ref="S70:W70" si="129">SUM(S71:S72)</f>
        <v>0</v>
      </c>
      <c r="T70" s="595">
        <f t="shared" si="129"/>
        <v>0</v>
      </c>
      <c r="U70" s="595">
        <f t="shared" si="129"/>
        <v>0</v>
      </c>
      <c r="V70" s="595">
        <f t="shared" si="129"/>
        <v>0</v>
      </c>
      <c r="W70" s="595">
        <f t="shared" si="129"/>
        <v>0</v>
      </c>
      <c r="X70" s="595">
        <f>SUM(Y70:AC70)</f>
        <v>0</v>
      </c>
      <c r="Y70" s="595">
        <f t="shared" ref="Y70:AC70" si="130">SUM(Y71:Y72)</f>
        <v>0</v>
      </c>
      <c r="Z70" s="595">
        <f t="shared" si="130"/>
        <v>0</v>
      </c>
      <c r="AA70" s="595">
        <f t="shared" si="130"/>
        <v>0</v>
      </c>
      <c r="AB70" s="595">
        <f t="shared" si="130"/>
        <v>0</v>
      </c>
      <c r="AC70" s="595">
        <f t="shared" si="130"/>
        <v>0</v>
      </c>
      <c r="AD70" s="595">
        <f>SUM(AE70:AI70)</f>
        <v>48</v>
      </c>
      <c r="AE70" s="595">
        <f t="shared" ref="AE70:AI70" si="131">SUM(AE71:AE72)</f>
        <v>32</v>
      </c>
      <c r="AF70" s="595">
        <f t="shared" si="131"/>
        <v>0</v>
      </c>
      <c r="AG70" s="595">
        <f t="shared" si="131"/>
        <v>0</v>
      </c>
      <c r="AH70" s="595">
        <f t="shared" si="131"/>
        <v>0</v>
      </c>
      <c r="AI70" s="595">
        <f t="shared" si="131"/>
        <v>16</v>
      </c>
      <c r="AJ70" s="595">
        <f>SUM(AK70:AO70)</f>
        <v>57</v>
      </c>
      <c r="AK70" s="595">
        <f t="shared" ref="AK70:AO70" si="132">SUM(AK71:AK72)</f>
        <v>30</v>
      </c>
      <c r="AL70" s="595">
        <f t="shared" si="132"/>
        <v>8</v>
      </c>
      <c r="AM70" s="595">
        <f t="shared" si="132"/>
        <v>0</v>
      </c>
      <c r="AN70" s="595">
        <f t="shared" si="132"/>
        <v>0</v>
      </c>
      <c r="AO70" s="595">
        <f t="shared" si="132"/>
        <v>19</v>
      </c>
      <c r="AP70" s="595">
        <f>SUM(AQ70:AU70)</f>
        <v>0</v>
      </c>
      <c r="AQ70" s="595">
        <f t="shared" ref="AQ70:AU70" si="133">SUM(AQ71:AQ72)</f>
        <v>0</v>
      </c>
      <c r="AR70" s="595">
        <f t="shared" si="133"/>
        <v>0</v>
      </c>
      <c r="AS70" s="595">
        <f t="shared" si="133"/>
        <v>0</v>
      </c>
      <c r="AT70" s="595">
        <f t="shared" si="133"/>
        <v>0</v>
      </c>
      <c r="AU70" s="595">
        <f t="shared" si="133"/>
        <v>0</v>
      </c>
      <c r="AV70" s="595">
        <f>SUM(AW70:BA70)</f>
        <v>0</v>
      </c>
      <c r="AW70" s="595">
        <f t="shared" ref="AW70:BA70" si="134">SUM(AW71:AW72)</f>
        <v>0</v>
      </c>
      <c r="AX70" s="595">
        <f t="shared" si="134"/>
        <v>0</v>
      </c>
      <c r="AY70" s="595">
        <f t="shared" si="134"/>
        <v>0</v>
      </c>
      <c r="AZ70" s="595">
        <f t="shared" si="134"/>
        <v>0</v>
      </c>
      <c r="BA70" s="595">
        <f t="shared" si="134"/>
        <v>0</v>
      </c>
      <c r="BB70" s="595">
        <f>SUM(BC70:BG70)</f>
        <v>0</v>
      </c>
      <c r="BC70" s="595">
        <f t="shared" ref="BC70:BG70" si="135">SUM(BC71:BC72)</f>
        <v>0</v>
      </c>
      <c r="BD70" s="595">
        <f t="shared" si="135"/>
        <v>0</v>
      </c>
      <c r="BE70" s="595">
        <f t="shared" si="135"/>
        <v>0</v>
      </c>
      <c r="BF70" s="595">
        <f t="shared" si="135"/>
        <v>0</v>
      </c>
      <c r="BG70" s="595">
        <f t="shared" si="135"/>
        <v>0</v>
      </c>
      <c r="BH70" s="595">
        <f>SUM(BI70:BM70)</f>
        <v>0</v>
      </c>
      <c r="BI70" s="595">
        <f t="shared" ref="BI70:BM70" si="136">SUM(BI71:BI72)</f>
        <v>0</v>
      </c>
      <c r="BJ70" s="595">
        <f t="shared" si="136"/>
        <v>0</v>
      </c>
      <c r="BK70" s="595">
        <f t="shared" si="136"/>
        <v>0</v>
      </c>
      <c r="BL70" s="595">
        <f t="shared" si="136"/>
        <v>0</v>
      </c>
      <c r="BM70" s="595">
        <f t="shared" si="136"/>
        <v>0</v>
      </c>
      <c r="BN70" s="595">
        <f t="shared" ref="BN70" si="137">SUM(BO70:BU70)</f>
        <v>0</v>
      </c>
      <c r="BO70" s="595">
        <f t="shared" ref="BO70:BU70" si="138">SUM(BO71:BO72)</f>
        <v>0</v>
      </c>
      <c r="BP70" s="595">
        <f t="shared" si="138"/>
        <v>0</v>
      </c>
      <c r="BQ70" s="595">
        <f t="shared" si="138"/>
        <v>0</v>
      </c>
      <c r="BR70" s="595">
        <f t="shared" si="138"/>
        <v>0</v>
      </c>
      <c r="BS70" s="595">
        <f t="shared" si="138"/>
        <v>0</v>
      </c>
      <c r="BT70" s="595">
        <f t="shared" si="138"/>
        <v>0</v>
      </c>
      <c r="BU70" s="595">
        <f t="shared" si="138"/>
        <v>0</v>
      </c>
      <c r="BV70" s="595">
        <f t="shared" ref="BV70" si="139">SUM(BW70:CC70)</f>
        <v>0</v>
      </c>
      <c r="BW70" s="595">
        <f t="shared" ref="BW70:CC70" si="140">SUM(BW71:BW72)</f>
        <v>0</v>
      </c>
      <c r="BX70" s="595">
        <f t="shared" si="140"/>
        <v>0</v>
      </c>
      <c r="BY70" s="595">
        <f t="shared" si="140"/>
        <v>0</v>
      </c>
      <c r="BZ70" s="595">
        <f t="shared" si="140"/>
        <v>0</v>
      </c>
      <c r="CA70" s="595">
        <f t="shared" si="140"/>
        <v>0</v>
      </c>
      <c r="CB70" s="595">
        <f t="shared" si="140"/>
        <v>0</v>
      </c>
      <c r="CC70" s="595">
        <f t="shared" si="140"/>
        <v>0</v>
      </c>
      <c r="CD70" s="596"/>
      <c r="CE70" s="597"/>
    </row>
    <row r="71" spans="1:83" s="142" customFormat="1" ht="27.75" customHeight="1" x14ac:dyDescent="0.2">
      <c r="A71" s="586"/>
      <c r="B71" s="143" t="s">
        <v>541</v>
      </c>
      <c r="C71" s="134"/>
      <c r="D71" s="135"/>
      <c r="E71" s="135" t="s">
        <v>39</v>
      </c>
      <c r="F71" s="135"/>
      <c r="G71" s="135"/>
      <c r="H71" s="135"/>
      <c r="I71" s="139"/>
      <c r="J71" s="164"/>
      <c r="K71" s="138">
        <f>L71+SUM(Q71:Q71)</f>
        <v>105</v>
      </c>
      <c r="L71" s="138">
        <f>SUM(M71:P71)</f>
        <v>70</v>
      </c>
      <c r="M71" s="138">
        <f t="shared" si="128"/>
        <v>62</v>
      </c>
      <c r="N71" s="138">
        <f t="shared" si="128"/>
        <v>8</v>
      </c>
      <c r="O71" s="138">
        <f t="shared" si="128"/>
        <v>0</v>
      </c>
      <c r="P71" s="138">
        <f t="shared" si="128"/>
        <v>0</v>
      </c>
      <c r="Q71" s="138">
        <f>W71+AC71+AI71+AO71+AU71+BA71+BG71+BM71+BU71+CC71</f>
        <v>35</v>
      </c>
      <c r="R71" s="253">
        <f>SUM(S71:W71)</f>
        <v>0</v>
      </c>
      <c r="S71" s="139"/>
      <c r="T71" s="139"/>
      <c r="U71" s="139"/>
      <c r="V71" s="139"/>
      <c r="W71" s="139"/>
      <c r="X71" s="253">
        <f>SUM(Y71:AC71)</f>
        <v>0</v>
      </c>
      <c r="Y71" s="139"/>
      <c r="Z71" s="139"/>
      <c r="AA71" s="139"/>
      <c r="AB71" s="139"/>
      <c r="AC71" s="139"/>
      <c r="AD71" s="253">
        <f>SUM(AE71:AI71)</f>
        <v>48</v>
      </c>
      <c r="AE71" s="139">
        <v>32</v>
      </c>
      <c r="AF71" s="139"/>
      <c r="AG71" s="139"/>
      <c r="AH71" s="139"/>
      <c r="AI71" s="139">
        <v>16</v>
      </c>
      <c r="AJ71" s="253">
        <f>SUM(AK71:AO71)</f>
        <v>57</v>
      </c>
      <c r="AK71" s="139">
        <v>30</v>
      </c>
      <c r="AL71" s="139">
        <v>8</v>
      </c>
      <c r="AM71" s="139"/>
      <c r="AN71" s="139"/>
      <c r="AO71" s="139">
        <v>19</v>
      </c>
      <c r="AP71" s="253">
        <f>SUM(AQ71:AU71)</f>
        <v>0</v>
      </c>
      <c r="AQ71" s="164"/>
      <c r="AR71" s="164"/>
      <c r="AS71" s="164"/>
      <c r="AT71" s="164"/>
      <c r="AU71" s="164"/>
      <c r="AV71" s="253">
        <f>SUM(AW71:BA71)</f>
        <v>0</v>
      </c>
      <c r="AW71" s="139"/>
      <c r="AX71" s="139"/>
      <c r="AY71" s="139"/>
      <c r="AZ71" s="139"/>
      <c r="BA71" s="139"/>
      <c r="BB71" s="253">
        <f>SUM(BC71:BG71)</f>
        <v>0</v>
      </c>
      <c r="BC71" s="139"/>
      <c r="BD71" s="139"/>
      <c r="BE71" s="139"/>
      <c r="BF71" s="139"/>
      <c r="BG71" s="139"/>
      <c r="BH71" s="253">
        <f>SUM(BI71:BM71)</f>
        <v>0</v>
      </c>
      <c r="BI71" s="139"/>
      <c r="BJ71" s="139"/>
      <c r="BK71" s="139"/>
      <c r="BL71" s="139"/>
      <c r="BM71" s="139"/>
      <c r="BN71" s="253">
        <f t="shared" ref="BN71" si="141">SUM(BO71:BU71)</f>
        <v>0</v>
      </c>
      <c r="BO71" s="139"/>
      <c r="BP71" s="139"/>
      <c r="BQ71" s="139"/>
      <c r="BR71" s="139"/>
      <c r="BS71" s="139"/>
      <c r="BT71" s="139"/>
      <c r="BU71" s="139"/>
      <c r="BV71" s="253">
        <f t="shared" ref="BV71" si="142">SUM(BW71:CC71)</f>
        <v>0</v>
      </c>
      <c r="BW71" s="139"/>
      <c r="BX71" s="139"/>
      <c r="BY71" s="139"/>
      <c r="BZ71" s="139"/>
      <c r="CA71" s="139"/>
      <c r="CB71" s="139"/>
      <c r="CC71" s="139"/>
      <c r="CD71" s="135" t="s">
        <v>515</v>
      </c>
      <c r="CE71" s="139" t="s">
        <v>373</v>
      </c>
    </row>
    <row r="72" spans="1:83" s="142" customFormat="1" hidden="1" x14ac:dyDescent="0.2">
      <c r="A72" s="586"/>
      <c r="B72" s="143"/>
      <c r="C72" s="134"/>
      <c r="D72" s="135"/>
      <c r="E72" s="135"/>
      <c r="F72" s="135"/>
      <c r="G72" s="135"/>
      <c r="H72" s="135"/>
      <c r="I72" s="139"/>
      <c r="J72" s="164"/>
      <c r="K72" s="138">
        <f>L72+SUM(Q72:Q72)</f>
        <v>0</v>
      </c>
      <c r="L72" s="138">
        <f>SUM(M72:P72)</f>
        <v>0</v>
      </c>
      <c r="M72" s="138">
        <f t="shared" si="128"/>
        <v>0</v>
      </c>
      <c r="N72" s="138">
        <f t="shared" si="128"/>
        <v>0</v>
      </c>
      <c r="O72" s="138">
        <f t="shared" si="128"/>
        <v>0</v>
      </c>
      <c r="P72" s="138">
        <f t="shared" si="128"/>
        <v>0</v>
      </c>
      <c r="Q72" s="138">
        <f>W72+AC72+AI72+AO72+AU72+BA72+BG72+BM72+BU72+CC72</f>
        <v>0</v>
      </c>
      <c r="R72" s="253">
        <f>SUM(S72:W72)</f>
        <v>0</v>
      </c>
      <c r="S72" s="139"/>
      <c r="T72" s="139"/>
      <c r="U72" s="139"/>
      <c r="V72" s="139"/>
      <c r="W72" s="139"/>
      <c r="X72" s="253">
        <f>SUM(Y72:AC72)</f>
        <v>0</v>
      </c>
      <c r="Y72" s="139"/>
      <c r="Z72" s="139"/>
      <c r="AA72" s="139"/>
      <c r="AB72" s="139"/>
      <c r="AC72" s="139"/>
      <c r="AD72" s="253">
        <f>SUM(AE72:AI72)</f>
        <v>0</v>
      </c>
      <c r="AE72" s="139"/>
      <c r="AF72" s="139"/>
      <c r="AG72" s="139"/>
      <c r="AH72" s="139"/>
      <c r="AI72" s="139"/>
      <c r="AJ72" s="253">
        <f>SUM(AK72:AO72)</f>
        <v>0</v>
      </c>
      <c r="AK72" s="139"/>
      <c r="AL72" s="139"/>
      <c r="AM72" s="139"/>
      <c r="AN72" s="139"/>
      <c r="AO72" s="139"/>
      <c r="AP72" s="253">
        <f>SUM(AQ72:AU72)</f>
        <v>0</v>
      </c>
      <c r="AQ72" s="164"/>
      <c r="AR72" s="164"/>
      <c r="AS72" s="164"/>
      <c r="AT72" s="164"/>
      <c r="AU72" s="164"/>
      <c r="AV72" s="253">
        <f>SUM(AW72:BA72)</f>
        <v>0</v>
      </c>
      <c r="AW72" s="139"/>
      <c r="AX72" s="139"/>
      <c r="AY72" s="139"/>
      <c r="AZ72" s="139"/>
      <c r="BA72" s="139"/>
      <c r="BB72" s="253">
        <f>SUM(BC72:BG72)</f>
        <v>0</v>
      </c>
      <c r="BC72" s="139"/>
      <c r="BD72" s="139"/>
      <c r="BE72" s="139"/>
      <c r="BF72" s="139"/>
      <c r="BG72" s="139"/>
      <c r="BH72" s="253">
        <f>SUM(BI72:BM72)</f>
        <v>0</v>
      </c>
      <c r="BI72" s="139"/>
      <c r="BJ72" s="139"/>
      <c r="BK72" s="139"/>
      <c r="BL72" s="139"/>
      <c r="BM72" s="139"/>
      <c r="BN72" s="253"/>
      <c r="BO72" s="139"/>
      <c r="BP72" s="139"/>
      <c r="BQ72" s="139"/>
      <c r="BR72" s="139"/>
      <c r="BS72" s="139"/>
      <c r="BT72" s="139"/>
      <c r="BU72" s="139"/>
      <c r="BV72" s="253"/>
      <c r="BW72" s="139"/>
      <c r="BX72" s="139"/>
      <c r="BY72" s="139"/>
      <c r="BZ72" s="139"/>
      <c r="CA72" s="139"/>
      <c r="CB72" s="139"/>
      <c r="CC72" s="139"/>
      <c r="CD72" s="135"/>
      <c r="CE72" s="307"/>
    </row>
    <row r="73" spans="1:83" s="142" customFormat="1" ht="13.5" customHeight="1" x14ac:dyDescent="0.2">
      <c r="A73" s="304" t="s">
        <v>420</v>
      </c>
      <c r="B73" s="304"/>
      <c r="C73" s="304"/>
      <c r="D73" s="322" t="s">
        <v>40</v>
      </c>
      <c r="E73" s="304"/>
      <c r="F73" s="304"/>
      <c r="G73" s="304"/>
      <c r="H73" s="304"/>
      <c r="I73" s="305"/>
      <c r="J73" s="305"/>
      <c r="K73" s="306"/>
      <c r="L73" s="306"/>
      <c r="M73" s="306"/>
      <c r="N73" s="306"/>
      <c r="O73" s="306"/>
      <c r="P73" s="306"/>
      <c r="Q73" s="306"/>
      <c r="R73" s="306"/>
      <c r="S73" s="305"/>
      <c r="T73" s="305"/>
      <c r="U73" s="305"/>
      <c r="V73" s="305"/>
      <c r="W73" s="305"/>
      <c r="X73" s="306"/>
      <c r="Y73" s="305"/>
      <c r="Z73" s="305"/>
      <c r="AA73" s="305"/>
      <c r="AB73" s="305"/>
      <c r="AC73" s="305"/>
      <c r="AD73" s="306"/>
      <c r="AE73" s="305"/>
      <c r="AF73" s="305"/>
      <c r="AG73" s="305"/>
      <c r="AH73" s="305"/>
      <c r="AI73" s="305"/>
      <c r="AJ73" s="306"/>
      <c r="AK73" s="305"/>
      <c r="AL73" s="305"/>
      <c r="AM73" s="305"/>
      <c r="AN73" s="305"/>
      <c r="AO73" s="305"/>
      <c r="AP73" s="306"/>
      <c r="AQ73" s="305"/>
      <c r="AR73" s="305"/>
      <c r="AS73" s="305"/>
      <c r="AT73" s="305"/>
      <c r="AU73" s="305"/>
      <c r="AV73" s="306"/>
      <c r="AW73" s="305"/>
      <c r="AX73" s="305"/>
      <c r="AY73" s="305"/>
      <c r="AZ73" s="305"/>
      <c r="BA73" s="305"/>
      <c r="BB73" s="306"/>
      <c r="BC73" s="305"/>
      <c r="BD73" s="305"/>
      <c r="BE73" s="305"/>
      <c r="BF73" s="305"/>
      <c r="BG73" s="305"/>
      <c r="BH73" s="306"/>
      <c r="BI73" s="305"/>
      <c r="BJ73" s="305"/>
      <c r="BK73" s="305"/>
      <c r="BL73" s="305"/>
      <c r="BM73" s="305"/>
      <c r="BN73" s="306"/>
      <c r="BO73" s="305"/>
      <c r="BP73" s="305"/>
      <c r="BQ73" s="305"/>
      <c r="BR73" s="305"/>
      <c r="BS73" s="305"/>
      <c r="BT73" s="305"/>
      <c r="BU73" s="305"/>
      <c r="BV73" s="306"/>
      <c r="BW73" s="305"/>
      <c r="BX73" s="305"/>
      <c r="BY73" s="305"/>
      <c r="BZ73" s="305"/>
      <c r="CA73" s="305"/>
      <c r="CB73" s="305"/>
      <c r="CC73" s="305"/>
      <c r="CD73" s="585"/>
      <c r="CE73" s="305"/>
    </row>
    <row r="74" spans="1:83" s="148" customFormat="1" ht="25.5" customHeight="1" x14ac:dyDescent="0.2">
      <c r="A74" s="549"/>
      <c r="B74" s="605" t="s">
        <v>409</v>
      </c>
      <c r="C74" s="436"/>
      <c r="D74" s="573" t="s">
        <v>26</v>
      </c>
      <c r="E74" s="299"/>
      <c r="F74" s="299"/>
      <c r="G74" s="299"/>
      <c r="H74" s="299"/>
      <c r="I74" s="550">
        <v>1242</v>
      </c>
      <c r="J74" s="550">
        <v>828</v>
      </c>
      <c r="K74" s="550">
        <f t="shared" ref="K74:AH74" si="143">SUM(K75:K79)</f>
        <v>354</v>
      </c>
      <c r="L74" s="550">
        <f t="shared" si="143"/>
        <v>233</v>
      </c>
      <c r="M74" s="550">
        <f t="shared" si="143"/>
        <v>153</v>
      </c>
      <c r="N74" s="550">
        <f t="shared" si="143"/>
        <v>80</v>
      </c>
      <c r="O74" s="550">
        <f t="shared" si="143"/>
        <v>0</v>
      </c>
      <c r="P74" s="550">
        <f t="shared" si="143"/>
        <v>0</v>
      </c>
      <c r="Q74" s="550">
        <f t="shared" si="143"/>
        <v>121</v>
      </c>
      <c r="R74" s="550">
        <f t="shared" si="143"/>
        <v>0</v>
      </c>
      <c r="S74" s="550">
        <f t="shared" si="143"/>
        <v>0</v>
      </c>
      <c r="T74" s="550">
        <f t="shared" si="143"/>
        <v>0</v>
      </c>
      <c r="U74" s="550">
        <f t="shared" si="143"/>
        <v>0</v>
      </c>
      <c r="V74" s="550">
        <f t="shared" si="143"/>
        <v>0</v>
      </c>
      <c r="W74" s="550">
        <f t="shared" si="143"/>
        <v>0</v>
      </c>
      <c r="X74" s="550">
        <f t="shared" si="143"/>
        <v>0</v>
      </c>
      <c r="Y74" s="550">
        <f t="shared" si="143"/>
        <v>0</v>
      </c>
      <c r="Z74" s="550">
        <f t="shared" si="143"/>
        <v>0</v>
      </c>
      <c r="AA74" s="550">
        <f t="shared" si="143"/>
        <v>0</v>
      </c>
      <c r="AB74" s="550">
        <f t="shared" si="143"/>
        <v>0</v>
      </c>
      <c r="AC74" s="550">
        <f t="shared" si="143"/>
        <v>0</v>
      </c>
      <c r="AD74" s="550">
        <f t="shared" si="143"/>
        <v>100</v>
      </c>
      <c r="AE74" s="550">
        <f t="shared" si="143"/>
        <v>60</v>
      </c>
      <c r="AF74" s="550">
        <f t="shared" si="143"/>
        <v>4</v>
      </c>
      <c r="AG74" s="550">
        <f t="shared" si="143"/>
        <v>0</v>
      </c>
      <c r="AH74" s="550">
        <f t="shared" si="143"/>
        <v>0</v>
      </c>
      <c r="AI74" s="550">
        <f t="shared" ref="AI74:BF74" si="144">SUM(AI75:AI79)</f>
        <v>36</v>
      </c>
      <c r="AJ74" s="550">
        <f t="shared" si="144"/>
        <v>86</v>
      </c>
      <c r="AK74" s="550">
        <f t="shared" si="144"/>
        <v>57</v>
      </c>
      <c r="AL74" s="550">
        <f t="shared" si="144"/>
        <v>0</v>
      </c>
      <c r="AM74" s="550">
        <f t="shared" si="144"/>
        <v>0</v>
      </c>
      <c r="AN74" s="550">
        <f t="shared" si="144"/>
        <v>0</v>
      </c>
      <c r="AO74" s="550">
        <f t="shared" si="144"/>
        <v>29</v>
      </c>
      <c r="AP74" s="550">
        <f t="shared" si="144"/>
        <v>54</v>
      </c>
      <c r="AQ74" s="550">
        <f t="shared" si="144"/>
        <v>36</v>
      </c>
      <c r="AR74" s="550">
        <f t="shared" si="144"/>
        <v>0</v>
      </c>
      <c r="AS74" s="550">
        <f t="shared" si="144"/>
        <v>0</v>
      </c>
      <c r="AT74" s="550">
        <f t="shared" si="144"/>
        <v>0</v>
      </c>
      <c r="AU74" s="550">
        <f t="shared" si="144"/>
        <v>18</v>
      </c>
      <c r="AV74" s="550">
        <f t="shared" si="144"/>
        <v>0</v>
      </c>
      <c r="AW74" s="550">
        <f t="shared" si="144"/>
        <v>0</v>
      </c>
      <c r="AX74" s="550">
        <f t="shared" si="144"/>
        <v>0</v>
      </c>
      <c r="AY74" s="550">
        <f t="shared" si="144"/>
        <v>0</v>
      </c>
      <c r="AZ74" s="550">
        <f t="shared" si="144"/>
        <v>0</v>
      </c>
      <c r="BA74" s="550">
        <f t="shared" si="144"/>
        <v>0</v>
      </c>
      <c r="BB74" s="550">
        <f t="shared" si="144"/>
        <v>0</v>
      </c>
      <c r="BC74" s="550">
        <f t="shared" si="144"/>
        <v>0</v>
      </c>
      <c r="BD74" s="550">
        <f t="shared" si="144"/>
        <v>0</v>
      </c>
      <c r="BE74" s="550">
        <f t="shared" si="144"/>
        <v>0</v>
      </c>
      <c r="BF74" s="550">
        <f t="shared" si="144"/>
        <v>0</v>
      </c>
      <c r="BG74" s="550">
        <f t="shared" ref="BG74:CC74" si="145">SUM(BG75:BG79)</f>
        <v>0</v>
      </c>
      <c r="BH74" s="550">
        <f t="shared" si="145"/>
        <v>114</v>
      </c>
      <c r="BI74" s="550">
        <f t="shared" si="145"/>
        <v>0</v>
      </c>
      <c r="BJ74" s="550">
        <f t="shared" si="145"/>
        <v>76</v>
      </c>
      <c r="BK74" s="550">
        <f t="shared" si="145"/>
        <v>0</v>
      </c>
      <c r="BL74" s="550">
        <f t="shared" si="145"/>
        <v>0</v>
      </c>
      <c r="BM74" s="550">
        <f t="shared" si="145"/>
        <v>38</v>
      </c>
      <c r="BN74" s="550">
        <f t="shared" si="145"/>
        <v>0</v>
      </c>
      <c r="BO74" s="550">
        <f t="shared" si="145"/>
        <v>0</v>
      </c>
      <c r="BP74" s="550">
        <f t="shared" si="145"/>
        <v>0</v>
      </c>
      <c r="BQ74" s="550">
        <f t="shared" si="145"/>
        <v>0</v>
      </c>
      <c r="BR74" s="550">
        <f t="shared" si="145"/>
        <v>0</v>
      </c>
      <c r="BS74" s="550">
        <f t="shared" si="145"/>
        <v>0</v>
      </c>
      <c r="BT74" s="550">
        <f t="shared" si="145"/>
        <v>0</v>
      </c>
      <c r="BU74" s="550">
        <f t="shared" si="145"/>
        <v>0</v>
      </c>
      <c r="BV74" s="550">
        <f t="shared" si="145"/>
        <v>0</v>
      </c>
      <c r="BW74" s="550">
        <f t="shared" si="145"/>
        <v>0</v>
      </c>
      <c r="BX74" s="550">
        <f t="shared" si="145"/>
        <v>0</v>
      </c>
      <c r="BY74" s="550">
        <f t="shared" si="145"/>
        <v>0</v>
      </c>
      <c r="BZ74" s="550">
        <f t="shared" si="145"/>
        <v>0</v>
      </c>
      <c r="CA74" s="550">
        <f t="shared" si="145"/>
        <v>0</v>
      </c>
      <c r="CB74" s="550">
        <f t="shared" si="145"/>
        <v>0</v>
      </c>
      <c r="CC74" s="550">
        <f t="shared" si="145"/>
        <v>0</v>
      </c>
      <c r="CD74" s="299"/>
      <c r="CE74" s="299"/>
    </row>
    <row r="75" spans="1:83" s="142" customFormat="1" ht="15.75" customHeight="1" x14ac:dyDescent="0.2">
      <c r="A75" s="584" t="s">
        <v>205</v>
      </c>
      <c r="B75" s="143" t="s">
        <v>299</v>
      </c>
      <c r="C75" s="134"/>
      <c r="D75" s="135"/>
      <c r="E75" s="135" t="s">
        <v>37</v>
      </c>
      <c r="F75" s="135"/>
      <c r="G75" s="135"/>
      <c r="H75" s="135"/>
      <c r="I75" s="164"/>
      <c r="J75" s="139"/>
      <c r="K75" s="138">
        <f>L75+SUM(Q75:Q75)</f>
        <v>57</v>
      </c>
      <c r="L75" s="138">
        <f>SUM(M75:P75)</f>
        <v>38</v>
      </c>
      <c r="M75" s="138">
        <f t="shared" ref="M75:P79" si="146">S75+Y75+AE75+AK75+AQ75+AW75+BC75+BI75+BP75+BX75</f>
        <v>0</v>
      </c>
      <c r="N75" s="138">
        <f t="shared" si="146"/>
        <v>38</v>
      </c>
      <c r="O75" s="138">
        <f t="shared" si="146"/>
        <v>0</v>
      </c>
      <c r="P75" s="138">
        <f t="shared" si="146"/>
        <v>0</v>
      </c>
      <c r="Q75" s="138">
        <f>W75+AC75+AI75+AO75+AU75+BA75+BG75+BM75+BU75+CC75</f>
        <v>19</v>
      </c>
      <c r="R75" s="253">
        <f>SUM(S75:W75)</f>
        <v>0</v>
      </c>
      <c r="S75" s="139"/>
      <c r="T75" s="139"/>
      <c r="U75" s="139"/>
      <c r="V75" s="139"/>
      <c r="W75" s="139"/>
      <c r="X75" s="253">
        <f>SUM(Y75:AC75)</f>
        <v>0</v>
      </c>
      <c r="Y75" s="139"/>
      <c r="Z75" s="139"/>
      <c r="AA75" s="139"/>
      <c r="AB75" s="139"/>
      <c r="AC75" s="139"/>
      <c r="AD75" s="253">
        <f>SUM(AE75:AI75)</f>
        <v>0</v>
      </c>
      <c r="AE75" s="139"/>
      <c r="AF75" s="139"/>
      <c r="AG75" s="139"/>
      <c r="AH75" s="139"/>
      <c r="AI75" s="139"/>
      <c r="AJ75" s="253">
        <f>SUM(AK75:AO75)</f>
        <v>0</v>
      </c>
      <c r="AK75" s="139"/>
      <c r="AL75" s="139"/>
      <c r="AM75" s="139"/>
      <c r="AN75" s="139"/>
      <c r="AO75" s="139"/>
      <c r="AP75" s="253">
        <f>SUM(AQ75:AU75)</f>
        <v>0</v>
      </c>
      <c r="AQ75" s="139"/>
      <c r="AR75" s="139"/>
      <c r="AS75" s="139"/>
      <c r="AT75" s="139"/>
      <c r="AU75" s="139"/>
      <c r="AV75" s="253">
        <f>SUM(AW75:BA75)</f>
        <v>0</v>
      </c>
      <c r="AW75" s="139"/>
      <c r="AX75" s="139"/>
      <c r="AY75" s="139"/>
      <c r="AZ75" s="139"/>
      <c r="BA75" s="139"/>
      <c r="BB75" s="253">
        <f>SUM(BC75:BG75)</f>
        <v>0</v>
      </c>
      <c r="BC75" s="139"/>
      <c r="BD75" s="139"/>
      <c r="BE75" s="139"/>
      <c r="BF75" s="139"/>
      <c r="BG75" s="139"/>
      <c r="BH75" s="253">
        <f>SUM(BI75:BM75)</f>
        <v>57</v>
      </c>
      <c r="BI75" s="139"/>
      <c r="BJ75" s="139">
        <v>38</v>
      </c>
      <c r="BK75" s="139"/>
      <c r="BL75" s="139"/>
      <c r="BM75" s="139">
        <v>19</v>
      </c>
      <c r="BN75" s="253">
        <f t="shared" ref="BN75" si="147">SUM(BO75:BU75)</f>
        <v>0</v>
      </c>
      <c r="BO75" s="139"/>
      <c r="BP75" s="139"/>
      <c r="BQ75" s="139"/>
      <c r="BR75" s="139"/>
      <c r="BS75" s="139"/>
      <c r="BT75" s="139"/>
      <c r="BU75" s="139"/>
      <c r="BV75" s="253">
        <f t="shared" ref="BV75" si="148">SUM(BW75:CC75)</f>
        <v>0</v>
      </c>
      <c r="BW75" s="139"/>
      <c r="BX75" s="139"/>
      <c r="BY75" s="139"/>
      <c r="BZ75" s="139"/>
      <c r="CA75" s="139"/>
      <c r="CB75" s="139"/>
      <c r="CC75" s="139"/>
      <c r="CD75" s="135" t="s">
        <v>509</v>
      </c>
      <c r="CE75" s="139" t="s">
        <v>614</v>
      </c>
    </row>
    <row r="76" spans="1:83" s="142" customFormat="1" ht="25.5" x14ac:dyDescent="0.2">
      <c r="A76" s="584" t="s">
        <v>546</v>
      </c>
      <c r="B76" s="143" t="s">
        <v>484</v>
      </c>
      <c r="C76" s="134"/>
      <c r="D76" s="135"/>
      <c r="E76" s="135" t="s">
        <v>37</v>
      </c>
      <c r="F76" s="135"/>
      <c r="G76" s="135"/>
      <c r="H76" s="135"/>
      <c r="I76" s="139"/>
      <c r="J76" s="139"/>
      <c r="K76" s="138">
        <f>L76+SUM(Q76:Q76)</f>
        <v>57</v>
      </c>
      <c r="L76" s="138">
        <f>SUM(M76:P76)</f>
        <v>38</v>
      </c>
      <c r="M76" s="138">
        <f t="shared" si="146"/>
        <v>0</v>
      </c>
      <c r="N76" s="138">
        <f t="shared" si="146"/>
        <v>38</v>
      </c>
      <c r="O76" s="138">
        <f t="shared" si="146"/>
        <v>0</v>
      </c>
      <c r="P76" s="138">
        <f t="shared" si="146"/>
        <v>0</v>
      </c>
      <c r="Q76" s="138">
        <f>W76+AC76+AI76+AO76+AU76+BA76+BG76+BM76+BU76+CC76</f>
        <v>19</v>
      </c>
      <c r="R76" s="253"/>
      <c r="S76" s="139"/>
      <c r="T76" s="139"/>
      <c r="U76" s="139"/>
      <c r="V76" s="139"/>
      <c r="W76" s="139"/>
      <c r="X76" s="253"/>
      <c r="Y76" s="139"/>
      <c r="Z76" s="139"/>
      <c r="AA76" s="139"/>
      <c r="AB76" s="139"/>
      <c r="AC76" s="139"/>
      <c r="AD76" s="253"/>
      <c r="AE76" s="139"/>
      <c r="AF76" s="139"/>
      <c r="AG76" s="139"/>
      <c r="AH76" s="139"/>
      <c r="AI76" s="139"/>
      <c r="AJ76" s="253"/>
      <c r="AK76" s="139"/>
      <c r="AL76" s="139"/>
      <c r="AM76" s="139"/>
      <c r="AN76" s="139"/>
      <c r="AO76" s="139"/>
      <c r="AP76" s="253"/>
      <c r="AQ76" s="139"/>
      <c r="AR76" s="139"/>
      <c r="AS76" s="139"/>
      <c r="AT76" s="139"/>
      <c r="AU76" s="139"/>
      <c r="AV76" s="253"/>
      <c r="AW76" s="139"/>
      <c r="AX76" s="139"/>
      <c r="AY76" s="139"/>
      <c r="AZ76" s="139"/>
      <c r="BA76" s="139"/>
      <c r="BB76" s="253">
        <f>SUM(BC76:BG76)</f>
        <v>0</v>
      </c>
      <c r="BC76" s="139"/>
      <c r="BD76" s="139"/>
      <c r="BE76" s="139"/>
      <c r="BF76" s="139"/>
      <c r="BG76" s="139"/>
      <c r="BH76" s="253">
        <f>SUM(BI76:BM76)</f>
        <v>57</v>
      </c>
      <c r="BI76" s="139"/>
      <c r="BJ76" s="164">
        <v>38</v>
      </c>
      <c r="BK76" s="139"/>
      <c r="BL76" s="139"/>
      <c r="BM76" s="139">
        <v>19</v>
      </c>
      <c r="BN76" s="253"/>
      <c r="BO76" s="139"/>
      <c r="BP76" s="139"/>
      <c r="BQ76" s="139"/>
      <c r="BR76" s="139"/>
      <c r="BS76" s="139"/>
      <c r="BT76" s="139"/>
      <c r="BU76" s="139"/>
      <c r="BV76" s="253"/>
      <c r="BW76" s="139"/>
      <c r="BX76" s="139"/>
      <c r="BY76" s="139"/>
      <c r="BZ76" s="139"/>
      <c r="CA76" s="139"/>
      <c r="CB76" s="139"/>
      <c r="CC76" s="139"/>
      <c r="CD76" s="135" t="s">
        <v>517</v>
      </c>
      <c r="CE76" s="556" t="s">
        <v>368</v>
      </c>
    </row>
    <row r="77" spans="1:83" s="142" customFormat="1" ht="28.5" customHeight="1" x14ac:dyDescent="0.2">
      <c r="A77" s="584" t="s">
        <v>547</v>
      </c>
      <c r="B77" s="143" t="s">
        <v>478</v>
      </c>
      <c r="C77" s="143"/>
      <c r="D77" s="143"/>
      <c r="E77" s="307">
        <v>5</v>
      </c>
      <c r="F77" s="143"/>
      <c r="G77" s="143"/>
      <c r="H77" s="143"/>
      <c r="I77" s="164"/>
      <c r="J77" s="164"/>
      <c r="K77" s="138">
        <f>L77+SUM(Q77:Q77)</f>
        <v>54</v>
      </c>
      <c r="L77" s="138">
        <f>SUM(M77:P77)</f>
        <v>36</v>
      </c>
      <c r="M77" s="138">
        <f t="shared" si="146"/>
        <v>36</v>
      </c>
      <c r="N77" s="138">
        <f t="shared" si="146"/>
        <v>0</v>
      </c>
      <c r="O77" s="138">
        <f t="shared" si="146"/>
        <v>0</v>
      </c>
      <c r="P77" s="138">
        <f t="shared" si="146"/>
        <v>0</v>
      </c>
      <c r="Q77" s="138">
        <f>W77+AC77+AI77+AO77+AU77+BA77+BG77+BM77+BU77+CC77</f>
        <v>18</v>
      </c>
      <c r="R77" s="253"/>
      <c r="S77" s="289"/>
      <c r="T77" s="289"/>
      <c r="U77" s="164"/>
      <c r="V77" s="164"/>
      <c r="W77" s="164"/>
      <c r="X77" s="253"/>
      <c r="Y77" s="164"/>
      <c r="Z77" s="164"/>
      <c r="AA77" s="164"/>
      <c r="AB77" s="164"/>
      <c r="AC77" s="164"/>
      <c r="AD77" s="253"/>
      <c r="AE77" s="164"/>
      <c r="AF77" s="164"/>
      <c r="AG77" s="164"/>
      <c r="AH77" s="164"/>
      <c r="AI77" s="164"/>
      <c r="AJ77" s="253">
        <f>SUM(AK77:AO77)</f>
        <v>0</v>
      </c>
      <c r="AK77" s="164"/>
      <c r="AL77" s="164"/>
      <c r="AM77" s="164"/>
      <c r="AN77" s="164"/>
      <c r="AO77" s="164"/>
      <c r="AP77" s="253">
        <f>SUM(AQ77:AU77)</f>
        <v>54</v>
      </c>
      <c r="AQ77" s="164">
        <v>36</v>
      </c>
      <c r="AR77" s="164"/>
      <c r="AS77" s="164"/>
      <c r="AT77" s="164"/>
      <c r="AU77" s="164">
        <v>18</v>
      </c>
      <c r="AV77" s="253">
        <f>SUM(AW77:BA77)</f>
        <v>0</v>
      </c>
      <c r="AW77" s="164"/>
      <c r="AX77" s="164"/>
      <c r="AY77" s="164"/>
      <c r="AZ77" s="164"/>
      <c r="BA77" s="164"/>
      <c r="BB77" s="253">
        <f>SUM(BC77:BG77)</f>
        <v>0</v>
      </c>
      <c r="BC77" s="164"/>
      <c r="BD77" s="164"/>
      <c r="BE77" s="164"/>
      <c r="BF77" s="164"/>
      <c r="BG77" s="164"/>
      <c r="BH77" s="253">
        <f>SUM(BI77:BM77)</f>
        <v>0</v>
      </c>
      <c r="BI77" s="139"/>
      <c r="BJ77" s="139"/>
      <c r="BK77" s="139"/>
      <c r="BL77" s="139"/>
      <c r="BM77" s="139"/>
      <c r="BN77" s="289"/>
      <c r="BO77" s="164"/>
      <c r="BP77" s="164"/>
      <c r="BQ77" s="164"/>
      <c r="BR77" s="164"/>
      <c r="BS77" s="164"/>
      <c r="BT77" s="164"/>
      <c r="BU77" s="164"/>
      <c r="BV77" s="289"/>
      <c r="BW77" s="164"/>
      <c r="BX77" s="164"/>
      <c r="BY77" s="164"/>
      <c r="BZ77" s="164"/>
      <c r="CA77" s="164"/>
      <c r="CB77" s="164"/>
      <c r="CC77" s="164"/>
      <c r="CD77" s="135" t="s">
        <v>514</v>
      </c>
      <c r="CE77" s="615" t="s">
        <v>616</v>
      </c>
    </row>
    <row r="78" spans="1:83" s="142" customFormat="1" ht="28.5" customHeight="1" x14ac:dyDescent="0.2">
      <c r="A78" s="584" t="s">
        <v>548</v>
      </c>
      <c r="B78" s="143" t="s">
        <v>537</v>
      </c>
      <c r="C78" s="134"/>
      <c r="D78" s="135"/>
      <c r="E78" s="135" t="s">
        <v>39</v>
      </c>
      <c r="F78" s="135"/>
      <c r="G78" s="135"/>
      <c r="H78" s="135"/>
      <c r="I78" s="139"/>
      <c r="J78" s="164"/>
      <c r="K78" s="138">
        <f>L78+SUM(Q78:Q78)</f>
        <v>136</v>
      </c>
      <c r="L78" s="138">
        <f>SUM(M78:P78)</f>
        <v>89</v>
      </c>
      <c r="M78" s="138">
        <f t="shared" si="146"/>
        <v>89</v>
      </c>
      <c r="N78" s="138">
        <f t="shared" si="146"/>
        <v>0</v>
      </c>
      <c r="O78" s="138">
        <f t="shared" si="146"/>
        <v>0</v>
      </c>
      <c r="P78" s="138">
        <f t="shared" si="146"/>
        <v>0</v>
      </c>
      <c r="Q78" s="138">
        <f>W78+AC78+AI78+AO78+AU78+BA78+BG78+BM78+BU78+CC78</f>
        <v>47</v>
      </c>
      <c r="R78" s="253">
        <f>SUM(S78:W78)</f>
        <v>0</v>
      </c>
      <c r="S78" s="139"/>
      <c r="T78" s="139"/>
      <c r="U78" s="139"/>
      <c r="V78" s="139"/>
      <c r="W78" s="139"/>
      <c r="X78" s="253">
        <f>SUM(Y78:AC78)</f>
        <v>0</v>
      </c>
      <c r="Y78" s="139"/>
      <c r="Z78" s="139"/>
      <c r="AA78" s="139"/>
      <c r="AB78" s="139"/>
      <c r="AC78" s="139"/>
      <c r="AD78" s="253">
        <f>SUM(AE78:AI78)</f>
        <v>50</v>
      </c>
      <c r="AE78" s="139">
        <v>32</v>
      </c>
      <c r="AF78" s="139"/>
      <c r="AG78" s="139"/>
      <c r="AH78" s="139"/>
      <c r="AI78" s="139">
        <v>18</v>
      </c>
      <c r="AJ78" s="253">
        <f>SUM(AK78:AO78)</f>
        <v>86</v>
      </c>
      <c r="AK78" s="139">
        <v>57</v>
      </c>
      <c r="AL78" s="139"/>
      <c r="AM78" s="139"/>
      <c r="AN78" s="139"/>
      <c r="AO78" s="139">
        <v>29</v>
      </c>
      <c r="AP78" s="253">
        <f>SUM(AQ78:AU78)</f>
        <v>0</v>
      </c>
      <c r="AQ78" s="164"/>
      <c r="AR78" s="164"/>
      <c r="AS78" s="164"/>
      <c r="AT78" s="164"/>
      <c r="AU78" s="164"/>
      <c r="AV78" s="253">
        <f>SUM(AW78:BA78)</f>
        <v>0</v>
      </c>
      <c r="AW78" s="139"/>
      <c r="AX78" s="139"/>
      <c r="AY78" s="139"/>
      <c r="AZ78" s="139"/>
      <c r="BA78" s="139"/>
      <c r="BB78" s="253">
        <f>SUM(BC78:BG78)</f>
        <v>0</v>
      </c>
      <c r="BC78" s="139"/>
      <c r="BD78" s="139"/>
      <c r="BE78" s="139"/>
      <c r="BF78" s="139"/>
      <c r="BG78" s="139"/>
      <c r="BH78" s="253">
        <f>SUM(BI78:BM78)</f>
        <v>0</v>
      </c>
      <c r="BI78" s="139"/>
      <c r="BJ78" s="139"/>
      <c r="BK78" s="139"/>
      <c r="BL78" s="139"/>
      <c r="BM78" s="139"/>
      <c r="BN78" s="253"/>
      <c r="BO78" s="139"/>
      <c r="BP78" s="139"/>
      <c r="BQ78" s="139"/>
      <c r="BR78" s="139"/>
      <c r="BS78" s="139"/>
      <c r="BT78" s="139"/>
      <c r="BU78" s="139"/>
      <c r="BV78" s="253"/>
      <c r="BW78" s="139"/>
      <c r="BX78" s="139"/>
      <c r="BY78" s="139"/>
      <c r="BZ78" s="139"/>
      <c r="CA78" s="139"/>
      <c r="CB78" s="139"/>
      <c r="CC78" s="139"/>
      <c r="CD78" s="135" t="s">
        <v>514</v>
      </c>
      <c r="CE78" s="307" t="s">
        <v>487</v>
      </c>
    </row>
    <row r="79" spans="1:83" s="142" customFormat="1" ht="29.25" customHeight="1" x14ac:dyDescent="0.2">
      <c r="A79" s="584" t="s">
        <v>549</v>
      </c>
      <c r="B79" s="143" t="s">
        <v>300</v>
      </c>
      <c r="C79" s="143"/>
      <c r="D79" s="144"/>
      <c r="E79" s="144" t="s">
        <v>30</v>
      </c>
      <c r="F79" s="135"/>
      <c r="G79" s="135"/>
      <c r="H79" s="135"/>
      <c r="I79" s="139"/>
      <c r="J79" s="139"/>
      <c r="K79" s="138">
        <f>L79+SUM(Q79:Q79)</f>
        <v>50</v>
      </c>
      <c r="L79" s="138">
        <f>SUM(M79:P79)</f>
        <v>32</v>
      </c>
      <c r="M79" s="138">
        <f t="shared" si="146"/>
        <v>28</v>
      </c>
      <c r="N79" s="138">
        <f t="shared" si="146"/>
        <v>4</v>
      </c>
      <c r="O79" s="138">
        <f t="shared" si="146"/>
        <v>0</v>
      </c>
      <c r="P79" s="138">
        <f t="shared" si="146"/>
        <v>0</v>
      </c>
      <c r="Q79" s="138">
        <f>W79+AC79+AI79+AO79+AU79+BA79+BG79+BM79+BU79+CC79</f>
        <v>18</v>
      </c>
      <c r="R79" s="253">
        <f>SUM(S79:W79)</f>
        <v>0</v>
      </c>
      <c r="S79" s="139"/>
      <c r="T79" s="139"/>
      <c r="U79" s="139"/>
      <c r="V79" s="139"/>
      <c r="W79" s="139"/>
      <c r="X79" s="253">
        <f>SUM(Y79:AC79)</f>
        <v>0</v>
      </c>
      <c r="Y79" s="139"/>
      <c r="Z79" s="139"/>
      <c r="AA79" s="139"/>
      <c r="AB79" s="139"/>
      <c r="AC79" s="139"/>
      <c r="AD79" s="253">
        <f>SUM(AE79:AI79)</f>
        <v>50</v>
      </c>
      <c r="AE79" s="139">
        <v>28</v>
      </c>
      <c r="AF79" s="139">
        <v>4</v>
      </c>
      <c r="AG79" s="139"/>
      <c r="AH79" s="139"/>
      <c r="AI79" s="139">
        <v>18</v>
      </c>
      <c r="AJ79" s="253">
        <f>SUM(AK79:AO79)</f>
        <v>0</v>
      </c>
      <c r="AK79" s="139"/>
      <c r="AL79" s="139"/>
      <c r="AM79" s="139"/>
      <c r="AN79" s="139"/>
      <c r="AO79" s="139"/>
      <c r="AP79" s="253">
        <f>SUM(AQ79:AU79)</f>
        <v>0</v>
      </c>
      <c r="AQ79" s="139"/>
      <c r="AR79" s="139"/>
      <c r="AS79" s="139"/>
      <c r="AT79" s="139"/>
      <c r="AU79" s="139"/>
      <c r="AV79" s="253">
        <f>SUM(AW79:BA79)</f>
        <v>0</v>
      </c>
      <c r="AW79" s="139"/>
      <c r="AX79" s="139"/>
      <c r="AY79" s="139"/>
      <c r="AZ79" s="139"/>
      <c r="BA79" s="139"/>
      <c r="BB79" s="253">
        <f>SUM(BC79:BG79)</f>
        <v>0</v>
      </c>
      <c r="BC79" s="139"/>
      <c r="BD79" s="139"/>
      <c r="BE79" s="139"/>
      <c r="BF79" s="139"/>
      <c r="BG79" s="139"/>
      <c r="BH79" s="253">
        <f>SUM(BI79:BM79)</f>
        <v>0</v>
      </c>
      <c r="BI79" s="139"/>
      <c r="BJ79" s="139"/>
      <c r="BK79" s="139"/>
      <c r="BL79" s="139"/>
      <c r="BM79" s="139"/>
      <c r="BN79" s="253"/>
      <c r="BO79" s="139"/>
      <c r="BP79" s="139"/>
      <c r="BQ79" s="139"/>
      <c r="BR79" s="139"/>
      <c r="BS79" s="139"/>
      <c r="BT79" s="139"/>
      <c r="BU79" s="139"/>
      <c r="BV79" s="253"/>
      <c r="BW79" s="139"/>
      <c r="BX79" s="139"/>
      <c r="BY79" s="139"/>
      <c r="BZ79" s="139"/>
      <c r="CA79" s="139"/>
      <c r="CB79" s="139"/>
      <c r="CC79" s="139"/>
      <c r="CD79" s="135" t="s">
        <v>512</v>
      </c>
      <c r="CE79" s="139" t="s">
        <v>424</v>
      </c>
    </row>
    <row r="80" spans="1:83" s="148" customFormat="1" ht="27" customHeight="1" x14ac:dyDescent="0.2">
      <c r="A80" s="549" t="s">
        <v>197</v>
      </c>
      <c r="B80" s="713" t="s">
        <v>6</v>
      </c>
      <c r="C80" s="713"/>
      <c r="D80" s="299"/>
      <c r="E80" s="299" t="s">
        <v>538</v>
      </c>
      <c r="F80" s="299"/>
      <c r="G80" s="299"/>
      <c r="H80" s="299"/>
      <c r="I80" s="550"/>
      <c r="J80" s="550"/>
      <c r="K80" s="550">
        <f>SUM(K81:K84)</f>
        <v>396</v>
      </c>
      <c r="L80" s="550">
        <f t="shared" ref="L80:Q80" si="149">SUM(L81:L84)</f>
        <v>396</v>
      </c>
      <c r="M80" s="550">
        <f t="shared" si="149"/>
        <v>0</v>
      </c>
      <c r="N80" s="550">
        <f t="shared" si="149"/>
        <v>0</v>
      </c>
      <c r="O80" s="550">
        <f t="shared" si="149"/>
        <v>0</v>
      </c>
      <c r="P80" s="550">
        <f t="shared" si="149"/>
        <v>396</v>
      </c>
      <c r="Q80" s="550">
        <f t="shared" si="149"/>
        <v>0</v>
      </c>
      <c r="R80" s="550">
        <f t="shared" ref="R80:AI80" si="150">SUM(R81:R83)</f>
        <v>0</v>
      </c>
      <c r="S80" s="550">
        <f t="shared" si="150"/>
        <v>0</v>
      </c>
      <c r="T80" s="550">
        <f t="shared" si="150"/>
        <v>0</v>
      </c>
      <c r="U80" s="550">
        <f t="shared" si="150"/>
        <v>0</v>
      </c>
      <c r="V80" s="550">
        <f t="shared" si="150"/>
        <v>0</v>
      </c>
      <c r="W80" s="550">
        <f t="shared" si="150"/>
        <v>0</v>
      </c>
      <c r="X80" s="550">
        <f t="shared" si="150"/>
        <v>0</v>
      </c>
      <c r="Y80" s="550">
        <f t="shared" si="150"/>
        <v>0</v>
      </c>
      <c r="Z80" s="550">
        <f t="shared" si="150"/>
        <v>0</v>
      </c>
      <c r="AA80" s="550">
        <f t="shared" si="150"/>
        <v>0</v>
      </c>
      <c r="AB80" s="550">
        <f t="shared" si="150"/>
        <v>0</v>
      </c>
      <c r="AC80" s="550">
        <f t="shared" si="150"/>
        <v>0</v>
      </c>
      <c r="AD80" s="550">
        <f t="shared" si="150"/>
        <v>0</v>
      </c>
      <c r="AE80" s="550">
        <f t="shared" si="150"/>
        <v>0</v>
      </c>
      <c r="AF80" s="550">
        <f t="shared" si="150"/>
        <v>0</v>
      </c>
      <c r="AG80" s="550">
        <f t="shared" si="150"/>
        <v>0</v>
      </c>
      <c r="AH80" s="550">
        <f t="shared" si="150"/>
        <v>0</v>
      </c>
      <c r="AI80" s="550">
        <f t="shared" si="150"/>
        <v>0</v>
      </c>
      <c r="AJ80" s="550">
        <f>SUM(AJ81:AJ84)</f>
        <v>252</v>
      </c>
      <c r="AK80" s="550">
        <f t="shared" ref="AK80:AO80" si="151">SUM(AK81:AK84)</f>
        <v>0</v>
      </c>
      <c r="AL80" s="550">
        <f t="shared" si="151"/>
        <v>0</v>
      </c>
      <c r="AM80" s="550">
        <f t="shared" si="151"/>
        <v>0</v>
      </c>
      <c r="AN80" s="550">
        <f t="shared" si="151"/>
        <v>252</v>
      </c>
      <c r="AO80" s="550">
        <f t="shared" si="151"/>
        <v>0</v>
      </c>
      <c r="AP80" s="550">
        <f>SUM(AP81:AP84)</f>
        <v>144</v>
      </c>
      <c r="AQ80" s="550">
        <f>SUM(AQ81:AQ84)</f>
        <v>0</v>
      </c>
      <c r="AR80" s="550">
        <f t="shared" ref="AR80:CC80" si="152">SUM(AR81:AR83)</f>
        <v>0</v>
      </c>
      <c r="AS80" s="550">
        <f t="shared" si="152"/>
        <v>0</v>
      </c>
      <c r="AT80" s="550">
        <f>SUM(AT81:AT84)</f>
        <v>144</v>
      </c>
      <c r="AU80" s="550">
        <f>SUM(AU81:AU84)</f>
        <v>0</v>
      </c>
      <c r="AV80" s="550">
        <f t="shared" si="152"/>
        <v>0</v>
      </c>
      <c r="AW80" s="550">
        <f t="shared" si="152"/>
        <v>0</v>
      </c>
      <c r="AX80" s="550">
        <f t="shared" si="152"/>
        <v>0</v>
      </c>
      <c r="AY80" s="550">
        <f t="shared" si="152"/>
        <v>0</v>
      </c>
      <c r="AZ80" s="550">
        <f t="shared" si="152"/>
        <v>0</v>
      </c>
      <c r="BA80" s="550">
        <f t="shared" si="152"/>
        <v>0</v>
      </c>
      <c r="BB80" s="550">
        <f t="shared" si="152"/>
        <v>0</v>
      </c>
      <c r="BC80" s="550">
        <f t="shared" si="152"/>
        <v>0</v>
      </c>
      <c r="BD80" s="550">
        <f t="shared" si="152"/>
        <v>0</v>
      </c>
      <c r="BE80" s="550">
        <f t="shared" si="152"/>
        <v>0</v>
      </c>
      <c r="BF80" s="550">
        <f t="shared" si="152"/>
        <v>0</v>
      </c>
      <c r="BG80" s="550">
        <f t="shared" si="152"/>
        <v>0</v>
      </c>
      <c r="BH80" s="550">
        <f t="shared" si="152"/>
        <v>0</v>
      </c>
      <c r="BI80" s="550">
        <f t="shared" si="152"/>
        <v>0</v>
      </c>
      <c r="BJ80" s="550">
        <f t="shared" si="152"/>
        <v>0</v>
      </c>
      <c r="BK80" s="550">
        <f t="shared" si="152"/>
        <v>0</v>
      </c>
      <c r="BL80" s="550">
        <f t="shared" si="152"/>
        <v>0</v>
      </c>
      <c r="BM80" s="550">
        <f t="shared" si="152"/>
        <v>0</v>
      </c>
      <c r="BN80" s="550">
        <f t="shared" si="152"/>
        <v>0</v>
      </c>
      <c r="BO80" s="550">
        <f t="shared" si="152"/>
        <v>0</v>
      </c>
      <c r="BP80" s="550">
        <f t="shared" si="152"/>
        <v>0</v>
      </c>
      <c r="BQ80" s="550">
        <f t="shared" si="152"/>
        <v>0</v>
      </c>
      <c r="BR80" s="550">
        <f t="shared" si="152"/>
        <v>0</v>
      </c>
      <c r="BS80" s="550">
        <f t="shared" si="152"/>
        <v>0</v>
      </c>
      <c r="BT80" s="550">
        <f t="shared" si="152"/>
        <v>0</v>
      </c>
      <c r="BU80" s="550">
        <f t="shared" si="152"/>
        <v>0</v>
      </c>
      <c r="BV80" s="550">
        <f t="shared" si="152"/>
        <v>0</v>
      </c>
      <c r="BW80" s="550">
        <f t="shared" si="152"/>
        <v>0</v>
      </c>
      <c r="BX80" s="550">
        <f t="shared" si="152"/>
        <v>0</v>
      </c>
      <c r="BY80" s="550">
        <f t="shared" si="152"/>
        <v>0</v>
      </c>
      <c r="BZ80" s="550">
        <f t="shared" si="152"/>
        <v>0</v>
      </c>
      <c r="CA80" s="550">
        <f t="shared" si="152"/>
        <v>0</v>
      </c>
      <c r="CB80" s="550">
        <f t="shared" si="152"/>
        <v>0</v>
      </c>
      <c r="CC80" s="550">
        <f t="shared" si="152"/>
        <v>0</v>
      </c>
      <c r="CD80" s="299"/>
      <c r="CE80" s="619" t="s">
        <v>421</v>
      </c>
    </row>
    <row r="81" spans="1:83" s="142" customFormat="1" ht="20.25" hidden="1" customHeight="1" x14ac:dyDescent="0.2">
      <c r="A81" s="584" t="s">
        <v>198</v>
      </c>
      <c r="B81" s="134" t="s">
        <v>329</v>
      </c>
      <c r="C81" s="134"/>
      <c r="D81" s="135"/>
      <c r="E81" s="144" t="s">
        <v>40</v>
      </c>
      <c r="F81" s="135"/>
      <c r="G81" s="135"/>
      <c r="H81" s="135"/>
      <c r="I81" s="139"/>
      <c r="J81" s="139"/>
      <c r="K81" s="138">
        <f t="shared" ref="K81:K86" si="153">L81+SUM(Q81:Q81)</f>
        <v>98</v>
      </c>
      <c r="L81" s="138">
        <f t="shared" ref="L81:L86" si="154">SUM(M81:P81)</f>
        <v>98</v>
      </c>
      <c r="M81" s="138">
        <f t="shared" ref="M81:P84" si="155">S81+Y81+AE81+AK81+AQ81+AW81+BC81+BI81+BP81+BX81</f>
        <v>0</v>
      </c>
      <c r="N81" s="138">
        <f t="shared" si="155"/>
        <v>0</v>
      </c>
      <c r="O81" s="138">
        <f t="shared" si="155"/>
        <v>0</v>
      </c>
      <c r="P81" s="138">
        <f t="shared" si="155"/>
        <v>98</v>
      </c>
      <c r="Q81" s="138">
        <f t="shared" ref="Q81:Q86" si="156">W81+AC81+AI81+AO81+AU81+BA81+BG81+BM81+BU81+CC81</f>
        <v>0</v>
      </c>
      <c r="R81" s="253">
        <f t="shared" ref="R81:R86" si="157">SUM(S81:W81)</f>
        <v>0</v>
      </c>
      <c r="S81" s="139"/>
      <c r="T81" s="139"/>
      <c r="U81" s="139"/>
      <c r="V81" s="139"/>
      <c r="W81" s="139"/>
      <c r="X81" s="253">
        <f t="shared" ref="X81:X86" si="158">SUM(Y81:AC81)</f>
        <v>0</v>
      </c>
      <c r="Y81" s="139"/>
      <c r="Z81" s="139"/>
      <c r="AA81" s="139"/>
      <c r="AB81" s="139"/>
      <c r="AC81" s="139"/>
      <c r="AD81" s="253">
        <f t="shared" ref="AD81:AD86" si="159">SUM(AE81:AI81)</f>
        <v>0</v>
      </c>
      <c r="AE81" s="139"/>
      <c r="AF81" s="139"/>
      <c r="AG81" s="139"/>
      <c r="AH81" s="139"/>
      <c r="AI81" s="139"/>
      <c r="AJ81" s="253">
        <f t="shared" ref="AJ81:AJ86" si="160">SUM(AK81:AO81)</f>
        <v>36</v>
      </c>
      <c r="AK81" s="164"/>
      <c r="AL81" s="164"/>
      <c r="AM81" s="164"/>
      <c r="AN81" s="164">
        <v>36</v>
      </c>
      <c r="AO81" s="164"/>
      <c r="AP81" s="253">
        <f t="shared" ref="AP81:AP86" si="161">SUM(AQ81:AU81)</f>
        <v>62</v>
      </c>
      <c r="AQ81" s="139"/>
      <c r="AR81" s="139"/>
      <c r="AS81" s="139"/>
      <c r="AT81" s="139">
        <v>62</v>
      </c>
      <c r="AU81" s="139"/>
      <c r="AV81" s="253">
        <f t="shared" ref="AV81:AV86" si="162">SUM(AW81:BA81)</f>
        <v>0</v>
      </c>
      <c r="AW81" s="139"/>
      <c r="AX81" s="139"/>
      <c r="AY81" s="139"/>
      <c r="AZ81" s="139"/>
      <c r="BA81" s="139"/>
      <c r="BB81" s="253">
        <f t="shared" ref="BB81:BB86" si="163">SUM(BC81:BG81)</f>
        <v>0</v>
      </c>
      <c r="BC81" s="139"/>
      <c r="BD81" s="139"/>
      <c r="BE81" s="139"/>
      <c r="BF81" s="139"/>
      <c r="BG81" s="139"/>
      <c r="BH81" s="253">
        <f t="shared" ref="BH81:BH86" si="164">SUM(BI81:BM81)</f>
        <v>0</v>
      </c>
      <c r="BI81" s="139"/>
      <c r="BJ81" s="139"/>
      <c r="BK81" s="139"/>
      <c r="BL81" s="139"/>
      <c r="BM81" s="139"/>
      <c r="BN81" s="253">
        <f>SUM(BO81:BU81)</f>
        <v>0</v>
      </c>
      <c r="BO81" s="139"/>
      <c r="BP81" s="139"/>
      <c r="BQ81" s="139"/>
      <c r="BR81" s="139"/>
      <c r="BS81" s="139"/>
      <c r="BT81" s="139"/>
      <c r="BU81" s="139"/>
      <c r="BV81" s="253">
        <f>SUM(BW81:CC81)</f>
        <v>0</v>
      </c>
      <c r="BW81" s="139"/>
      <c r="BX81" s="139"/>
      <c r="BY81" s="139"/>
      <c r="BZ81" s="139"/>
      <c r="CA81" s="139"/>
      <c r="CB81" s="139"/>
      <c r="CC81" s="139"/>
      <c r="CD81" s="135" t="s">
        <v>515</v>
      </c>
      <c r="CE81" s="307" t="s">
        <v>435</v>
      </c>
    </row>
    <row r="82" spans="1:83" s="142" customFormat="1" ht="25.5" hidden="1" customHeight="1" x14ac:dyDescent="0.2">
      <c r="A82" s="584" t="s">
        <v>416</v>
      </c>
      <c r="B82" s="143" t="s">
        <v>417</v>
      </c>
      <c r="C82" s="134"/>
      <c r="D82" s="135"/>
      <c r="E82" s="144" t="s">
        <v>39</v>
      </c>
      <c r="F82" s="135"/>
      <c r="G82" s="135"/>
      <c r="H82" s="135"/>
      <c r="I82" s="139"/>
      <c r="J82" s="139"/>
      <c r="K82" s="138">
        <f t="shared" si="153"/>
        <v>72</v>
      </c>
      <c r="L82" s="138">
        <f t="shared" si="154"/>
        <v>72</v>
      </c>
      <c r="M82" s="138">
        <f t="shared" si="155"/>
        <v>0</v>
      </c>
      <c r="N82" s="138">
        <f t="shared" si="155"/>
        <v>0</v>
      </c>
      <c r="O82" s="138">
        <f t="shared" si="155"/>
        <v>0</v>
      </c>
      <c r="P82" s="138">
        <f t="shared" si="155"/>
        <v>72</v>
      </c>
      <c r="Q82" s="138">
        <f t="shared" si="156"/>
        <v>0</v>
      </c>
      <c r="R82" s="253">
        <f t="shared" si="157"/>
        <v>0</v>
      </c>
      <c r="S82" s="139"/>
      <c r="T82" s="139"/>
      <c r="U82" s="139"/>
      <c r="V82" s="139"/>
      <c r="W82" s="139"/>
      <c r="X82" s="253">
        <f t="shared" si="158"/>
        <v>0</v>
      </c>
      <c r="Y82" s="139"/>
      <c r="Z82" s="139"/>
      <c r="AA82" s="139"/>
      <c r="AB82" s="139"/>
      <c r="AC82" s="139"/>
      <c r="AD82" s="253">
        <f t="shared" si="159"/>
        <v>0</v>
      </c>
      <c r="AE82" s="139"/>
      <c r="AF82" s="139"/>
      <c r="AG82" s="139"/>
      <c r="AH82" s="139"/>
      <c r="AI82" s="139"/>
      <c r="AJ82" s="253">
        <f t="shared" si="160"/>
        <v>72</v>
      </c>
      <c r="AK82" s="164"/>
      <c r="AL82" s="164"/>
      <c r="AM82" s="164"/>
      <c r="AN82" s="164">
        <v>72</v>
      </c>
      <c r="AO82" s="164"/>
      <c r="AP82" s="253">
        <f t="shared" si="161"/>
        <v>0</v>
      </c>
      <c r="AQ82" s="139"/>
      <c r="AR82" s="139"/>
      <c r="AS82" s="139"/>
      <c r="AT82" s="139"/>
      <c r="AU82" s="139"/>
      <c r="AV82" s="253">
        <f t="shared" si="162"/>
        <v>0</v>
      </c>
      <c r="AW82" s="139"/>
      <c r="AX82" s="139"/>
      <c r="AY82" s="139"/>
      <c r="AZ82" s="139"/>
      <c r="BA82" s="139"/>
      <c r="BB82" s="253">
        <f t="shared" si="163"/>
        <v>0</v>
      </c>
      <c r="BC82" s="139"/>
      <c r="BD82" s="139"/>
      <c r="BE82" s="139"/>
      <c r="BF82" s="139"/>
      <c r="BG82" s="139"/>
      <c r="BH82" s="253">
        <f t="shared" si="164"/>
        <v>0</v>
      </c>
      <c r="BI82" s="139"/>
      <c r="BJ82" s="139"/>
      <c r="BK82" s="139"/>
      <c r="BL82" s="139"/>
      <c r="BM82" s="139"/>
      <c r="BN82" s="253"/>
      <c r="BO82" s="139"/>
      <c r="BP82" s="139"/>
      <c r="BQ82" s="139"/>
      <c r="BR82" s="139"/>
      <c r="BS82" s="139"/>
      <c r="BT82" s="139"/>
      <c r="BU82" s="139"/>
      <c r="BV82" s="253"/>
      <c r="BW82" s="139"/>
      <c r="BX82" s="139"/>
      <c r="BY82" s="139"/>
      <c r="BZ82" s="139"/>
      <c r="CA82" s="139"/>
      <c r="CB82" s="139"/>
      <c r="CC82" s="139"/>
      <c r="CD82" s="135" t="s">
        <v>515</v>
      </c>
      <c r="CE82" s="307" t="s">
        <v>436</v>
      </c>
    </row>
    <row r="83" spans="1:83" s="142" customFormat="1" ht="25.5" hidden="1" customHeight="1" x14ac:dyDescent="0.2">
      <c r="A83" s="584" t="s">
        <v>418</v>
      </c>
      <c r="B83" s="143" t="s">
        <v>419</v>
      </c>
      <c r="C83" s="134"/>
      <c r="D83" s="135"/>
      <c r="E83" s="144" t="s">
        <v>39</v>
      </c>
      <c r="F83" s="135"/>
      <c r="G83" s="135"/>
      <c r="H83" s="135"/>
      <c r="I83" s="139"/>
      <c r="J83" s="139"/>
      <c r="K83" s="138">
        <f t="shared" si="153"/>
        <v>144</v>
      </c>
      <c r="L83" s="138">
        <f t="shared" si="154"/>
        <v>144</v>
      </c>
      <c r="M83" s="138">
        <f t="shared" si="155"/>
        <v>0</v>
      </c>
      <c r="N83" s="138">
        <f t="shared" si="155"/>
        <v>0</v>
      </c>
      <c r="O83" s="138">
        <f t="shared" si="155"/>
        <v>0</v>
      </c>
      <c r="P83" s="138">
        <f t="shared" si="155"/>
        <v>144</v>
      </c>
      <c r="Q83" s="138">
        <f t="shared" si="156"/>
        <v>0</v>
      </c>
      <c r="R83" s="253">
        <f t="shared" si="157"/>
        <v>0</v>
      </c>
      <c r="S83" s="139"/>
      <c r="T83" s="139"/>
      <c r="U83" s="139"/>
      <c r="V83" s="139"/>
      <c r="W83" s="139"/>
      <c r="X83" s="253">
        <f t="shared" si="158"/>
        <v>0</v>
      </c>
      <c r="Y83" s="139"/>
      <c r="Z83" s="139"/>
      <c r="AA83" s="139"/>
      <c r="AB83" s="139"/>
      <c r="AC83" s="139"/>
      <c r="AD83" s="253">
        <f t="shared" si="159"/>
        <v>0</v>
      </c>
      <c r="AE83" s="139"/>
      <c r="AF83" s="139"/>
      <c r="AG83" s="139"/>
      <c r="AH83" s="139"/>
      <c r="AI83" s="139"/>
      <c r="AJ83" s="253">
        <f t="shared" si="160"/>
        <v>144</v>
      </c>
      <c r="AK83" s="164"/>
      <c r="AL83" s="164"/>
      <c r="AM83" s="164"/>
      <c r="AN83" s="164">
        <v>144</v>
      </c>
      <c r="AO83" s="164"/>
      <c r="AP83" s="253">
        <f t="shared" si="161"/>
        <v>0</v>
      </c>
      <c r="AQ83" s="139"/>
      <c r="AR83" s="139"/>
      <c r="AS83" s="139"/>
      <c r="AT83" s="139"/>
      <c r="AU83" s="139"/>
      <c r="AV83" s="253">
        <f t="shared" si="162"/>
        <v>0</v>
      </c>
      <c r="AW83" s="139"/>
      <c r="AX83" s="139"/>
      <c r="AY83" s="139"/>
      <c r="AZ83" s="139"/>
      <c r="BA83" s="139"/>
      <c r="BB83" s="253">
        <f t="shared" si="163"/>
        <v>0</v>
      </c>
      <c r="BC83" s="139"/>
      <c r="BD83" s="139"/>
      <c r="BE83" s="139"/>
      <c r="BF83" s="139"/>
      <c r="BG83" s="139"/>
      <c r="BH83" s="253">
        <f t="shared" si="164"/>
        <v>0</v>
      </c>
      <c r="BI83" s="139"/>
      <c r="BJ83" s="139"/>
      <c r="BK83" s="139"/>
      <c r="BL83" s="139"/>
      <c r="BM83" s="139"/>
      <c r="BN83" s="253"/>
      <c r="BO83" s="139"/>
      <c r="BP83" s="139"/>
      <c r="BQ83" s="139"/>
      <c r="BR83" s="139"/>
      <c r="BS83" s="139"/>
      <c r="BT83" s="139"/>
      <c r="BU83" s="139"/>
      <c r="BV83" s="253"/>
      <c r="BW83" s="139"/>
      <c r="BX83" s="139"/>
      <c r="BY83" s="139"/>
      <c r="BZ83" s="139"/>
      <c r="CA83" s="139"/>
      <c r="CB83" s="139"/>
      <c r="CC83" s="139"/>
      <c r="CD83" s="135" t="s">
        <v>515</v>
      </c>
      <c r="CE83" s="307" t="s">
        <v>421</v>
      </c>
    </row>
    <row r="84" spans="1:83" s="142" customFormat="1" ht="25.5" hidden="1" customHeight="1" x14ac:dyDescent="0.2">
      <c r="A84" s="586" t="s">
        <v>430</v>
      </c>
      <c r="B84" s="134" t="s">
        <v>531</v>
      </c>
      <c r="C84" s="143"/>
      <c r="D84" s="144"/>
      <c r="E84" s="144" t="s">
        <v>40</v>
      </c>
      <c r="F84" s="144"/>
      <c r="G84" s="144"/>
      <c r="H84" s="144"/>
      <c r="I84" s="164"/>
      <c r="J84" s="164"/>
      <c r="K84" s="138">
        <f t="shared" si="153"/>
        <v>82</v>
      </c>
      <c r="L84" s="138">
        <f t="shared" si="154"/>
        <v>82</v>
      </c>
      <c r="M84" s="138">
        <f t="shared" si="155"/>
        <v>0</v>
      </c>
      <c r="N84" s="138">
        <f t="shared" si="155"/>
        <v>0</v>
      </c>
      <c r="O84" s="138">
        <f t="shared" si="155"/>
        <v>0</v>
      </c>
      <c r="P84" s="138">
        <f t="shared" si="155"/>
        <v>82</v>
      </c>
      <c r="Q84" s="138">
        <f t="shared" si="156"/>
        <v>0</v>
      </c>
      <c r="R84" s="253">
        <f t="shared" si="157"/>
        <v>0</v>
      </c>
      <c r="S84" s="164"/>
      <c r="T84" s="164"/>
      <c r="U84" s="164"/>
      <c r="V84" s="164"/>
      <c r="W84" s="164"/>
      <c r="X84" s="253">
        <f t="shared" si="158"/>
        <v>0</v>
      </c>
      <c r="Y84" s="164"/>
      <c r="Z84" s="164"/>
      <c r="AA84" s="164"/>
      <c r="AB84" s="164"/>
      <c r="AC84" s="164"/>
      <c r="AD84" s="253">
        <f t="shared" si="159"/>
        <v>0</v>
      </c>
      <c r="AE84" s="164"/>
      <c r="AF84" s="164"/>
      <c r="AG84" s="164"/>
      <c r="AH84" s="164"/>
      <c r="AI84" s="164"/>
      <c r="AJ84" s="253">
        <f t="shared" si="160"/>
        <v>0</v>
      </c>
      <c r="AK84" s="289">
        <f t="shared" ref="AK84:AO84" si="165">SUM(AK85:AK86)</f>
        <v>0</v>
      </c>
      <c r="AL84" s="289">
        <f t="shared" si="165"/>
        <v>0</v>
      </c>
      <c r="AM84" s="289">
        <f t="shared" si="165"/>
        <v>0</v>
      </c>
      <c r="AN84" s="289">
        <f t="shared" si="165"/>
        <v>0</v>
      </c>
      <c r="AO84" s="289">
        <f t="shared" si="165"/>
        <v>0</v>
      </c>
      <c r="AP84" s="253">
        <f t="shared" si="161"/>
        <v>82</v>
      </c>
      <c r="AQ84" s="164"/>
      <c r="AR84" s="164"/>
      <c r="AS84" s="164"/>
      <c r="AT84" s="164">
        <v>82</v>
      </c>
      <c r="AU84" s="164"/>
      <c r="AV84" s="253">
        <f t="shared" si="162"/>
        <v>0</v>
      </c>
      <c r="AW84" s="164"/>
      <c r="AX84" s="164"/>
      <c r="AY84" s="164"/>
      <c r="AZ84" s="164"/>
      <c r="BA84" s="164"/>
      <c r="BB84" s="253">
        <f t="shared" si="163"/>
        <v>0</v>
      </c>
      <c r="BC84" s="164"/>
      <c r="BD84" s="164"/>
      <c r="BE84" s="164"/>
      <c r="BF84" s="164"/>
      <c r="BG84" s="164"/>
      <c r="BH84" s="253">
        <f t="shared" si="164"/>
        <v>0</v>
      </c>
      <c r="BI84" s="164"/>
      <c r="BJ84" s="164"/>
      <c r="BK84" s="164"/>
      <c r="BL84" s="164"/>
      <c r="BM84" s="164"/>
      <c r="BN84" s="289"/>
      <c r="BO84" s="164"/>
      <c r="BP84" s="164"/>
      <c r="BQ84" s="164"/>
      <c r="BR84" s="164"/>
      <c r="BS84" s="164"/>
      <c r="BT84" s="164"/>
      <c r="BU84" s="164"/>
      <c r="BV84" s="289"/>
      <c r="BW84" s="164"/>
      <c r="BX84" s="164"/>
      <c r="BY84" s="164"/>
      <c r="BZ84" s="164"/>
      <c r="CA84" s="164"/>
      <c r="CB84" s="164"/>
      <c r="CC84" s="164"/>
      <c r="CD84" s="144" t="s">
        <v>515</v>
      </c>
      <c r="CE84" s="307" t="s">
        <v>433</v>
      </c>
    </row>
    <row r="85" spans="1:83" s="142" customFormat="1" ht="25.5" hidden="1" customHeight="1" x14ac:dyDescent="0.2">
      <c r="A85" s="586"/>
      <c r="B85" s="437" t="s">
        <v>422</v>
      </c>
      <c r="C85" s="438"/>
      <c r="D85" s="438"/>
      <c r="E85" s="753"/>
      <c r="F85" s="438"/>
      <c r="G85" s="438"/>
      <c r="H85" s="438"/>
      <c r="I85" s="139"/>
      <c r="J85" s="139"/>
      <c r="K85" s="138">
        <f t="shared" si="153"/>
        <v>0</v>
      </c>
      <c r="L85" s="138">
        <f t="shared" si="154"/>
        <v>0</v>
      </c>
      <c r="M85" s="138">
        <f>S85+Y85+AE85+AK85+AQ85+AW85+BC85+BI85+BP85+BX85</f>
        <v>0</v>
      </c>
      <c r="N85" s="138">
        <f>T85+Z85+AF85+AL85+AR85+AX85+BD85+BJ85+BQ85+BY85</f>
        <v>0</v>
      </c>
      <c r="O85" s="138"/>
      <c r="P85" s="138"/>
      <c r="Q85" s="138">
        <f t="shared" si="156"/>
        <v>0</v>
      </c>
      <c r="R85" s="253">
        <f t="shared" si="157"/>
        <v>0</v>
      </c>
      <c r="S85" s="139"/>
      <c r="T85" s="139"/>
      <c r="U85" s="139"/>
      <c r="V85" s="139"/>
      <c r="W85" s="139"/>
      <c r="X85" s="253">
        <f t="shared" si="158"/>
        <v>0</v>
      </c>
      <c r="Y85" s="139"/>
      <c r="Z85" s="139"/>
      <c r="AA85" s="139"/>
      <c r="AB85" s="139"/>
      <c r="AC85" s="139"/>
      <c r="AD85" s="253">
        <f t="shared" si="159"/>
        <v>0</v>
      </c>
      <c r="AE85" s="139"/>
      <c r="AF85" s="139"/>
      <c r="AG85" s="139"/>
      <c r="AH85" s="139"/>
      <c r="AI85" s="139"/>
      <c r="AJ85" s="253">
        <f t="shared" si="160"/>
        <v>0</v>
      </c>
      <c r="AK85" s="164"/>
      <c r="AL85" s="164"/>
      <c r="AM85" s="164"/>
      <c r="AN85" s="164"/>
      <c r="AO85" s="164"/>
      <c r="AP85" s="253">
        <f t="shared" si="161"/>
        <v>0</v>
      </c>
      <c r="AQ85" s="164"/>
      <c r="AR85" s="164"/>
      <c r="AS85" s="139"/>
      <c r="AT85" s="139"/>
      <c r="AU85" s="139"/>
      <c r="AV85" s="253">
        <f t="shared" si="162"/>
        <v>0</v>
      </c>
      <c r="AW85" s="139"/>
      <c r="AX85" s="139"/>
      <c r="AY85" s="139"/>
      <c r="AZ85" s="139"/>
      <c r="BA85" s="139"/>
      <c r="BB85" s="253">
        <f t="shared" si="163"/>
        <v>0</v>
      </c>
      <c r="BC85" s="139"/>
      <c r="BD85" s="139"/>
      <c r="BE85" s="139"/>
      <c r="BF85" s="139"/>
      <c r="BG85" s="139"/>
      <c r="BH85" s="253">
        <f t="shared" si="164"/>
        <v>0</v>
      </c>
      <c r="BI85" s="139"/>
      <c r="BJ85" s="139"/>
      <c r="BK85" s="139"/>
      <c r="BL85" s="139"/>
      <c r="BM85" s="139"/>
      <c r="BN85" s="253"/>
      <c r="BO85" s="139"/>
      <c r="BP85" s="139"/>
      <c r="BQ85" s="139"/>
      <c r="BR85" s="139"/>
      <c r="BS85" s="139"/>
      <c r="BT85" s="139"/>
      <c r="BU85" s="139"/>
      <c r="BV85" s="253"/>
      <c r="BW85" s="139"/>
      <c r="BX85" s="139"/>
      <c r="BY85" s="139"/>
      <c r="BZ85" s="139"/>
      <c r="CA85" s="139"/>
      <c r="CB85" s="139"/>
      <c r="CC85" s="139"/>
      <c r="CD85" s="135" t="s">
        <v>429</v>
      </c>
      <c r="CE85" s="587" t="s">
        <v>433</v>
      </c>
    </row>
    <row r="86" spans="1:83" s="142" customFormat="1" ht="25.5" hidden="1" customHeight="1" x14ac:dyDescent="0.2">
      <c r="A86" s="586"/>
      <c r="B86" s="143" t="s">
        <v>423</v>
      </c>
      <c r="C86" s="438"/>
      <c r="D86" s="438"/>
      <c r="E86" s="753"/>
      <c r="F86" s="438"/>
      <c r="G86" s="438"/>
      <c r="H86" s="438"/>
      <c r="I86" s="139"/>
      <c r="J86" s="139"/>
      <c r="K86" s="138">
        <f t="shared" si="153"/>
        <v>0</v>
      </c>
      <c r="L86" s="138">
        <f t="shared" si="154"/>
        <v>0</v>
      </c>
      <c r="M86" s="138">
        <f>S86+Y86+AE86+AK86+AQ86+AW86+BC86+BI86+BP86+BX86</f>
        <v>0</v>
      </c>
      <c r="N86" s="138">
        <f>T86+Z86+AF86+AL86+AR86+AX86+BD86+BJ86+BQ86+BY86</f>
        <v>0</v>
      </c>
      <c r="O86" s="138"/>
      <c r="P86" s="138"/>
      <c r="Q86" s="138">
        <f t="shared" si="156"/>
        <v>0</v>
      </c>
      <c r="R86" s="253">
        <f t="shared" si="157"/>
        <v>0</v>
      </c>
      <c r="S86" s="139"/>
      <c r="T86" s="139"/>
      <c r="U86" s="139"/>
      <c r="V86" s="139"/>
      <c r="W86" s="139"/>
      <c r="X86" s="253">
        <f t="shared" si="158"/>
        <v>0</v>
      </c>
      <c r="Y86" s="139"/>
      <c r="Z86" s="139"/>
      <c r="AA86" s="139"/>
      <c r="AB86" s="139"/>
      <c r="AC86" s="139"/>
      <c r="AD86" s="253">
        <f t="shared" si="159"/>
        <v>0</v>
      </c>
      <c r="AE86" s="139"/>
      <c r="AF86" s="139"/>
      <c r="AG86" s="139"/>
      <c r="AH86" s="139"/>
      <c r="AI86" s="139"/>
      <c r="AJ86" s="253">
        <f t="shared" si="160"/>
        <v>0</v>
      </c>
      <c r="AK86" s="164"/>
      <c r="AL86" s="164"/>
      <c r="AM86" s="164"/>
      <c r="AN86" s="164"/>
      <c r="AO86" s="164"/>
      <c r="AP86" s="253">
        <f t="shared" si="161"/>
        <v>0</v>
      </c>
      <c r="AQ86" s="139"/>
      <c r="AR86" s="139"/>
      <c r="AS86" s="139"/>
      <c r="AT86" s="139"/>
      <c r="AU86" s="139"/>
      <c r="AV86" s="253">
        <f t="shared" si="162"/>
        <v>0</v>
      </c>
      <c r="AW86" s="139"/>
      <c r="AX86" s="139"/>
      <c r="AY86" s="139"/>
      <c r="AZ86" s="139"/>
      <c r="BA86" s="139"/>
      <c r="BB86" s="253">
        <f t="shared" si="163"/>
        <v>0</v>
      </c>
      <c r="BC86" s="139"/>
      <c r="BD86" s="139"/>
      <c r="BE86" s="139"/>
      <c r="BF86" s="139"/>
      <c r="BG86" s="139"/>
      <c r="BH86" s="253">
        <f t="shared" si="164"/>
        <v>0</v>
      </c>
      <c r="BI86" s="139"/>
      <c r="BJ86" s="139"/>
      <c r="BK86" s="139"/>
      <c r="BL86" s="139"/>
      <c r="BM86" s="139"/>
      <c r="BN86" s="253"/>
      <c r="BO86" s="139"/>
      <c r="BP86" s="139"/>
      <c r="BQ86" s="139"/>
      <c r="BR86" s="139"/>
      <c r="BS86" s="139"/>
      <c r="BT86" s="139"/>
      <c r="BU86" s="139"/>
      <c r="BV86" s="253"/>
      <c r="BW86" s="139"/>
      <c r="BX86" s="139"/>
      <c r="BY86" s="139"/>
      <c r="BZ86" s="139"/>
      <c r="CA86" s="139"/>
      <c r="CB86" s="139"/>
      <c r="CC86" s="139"/>
      <c r="CD86" s="135" t="s">
        <v>429</v>
      </c>
      <c r="CE86" s="587" t="s">
        <v>434</v>
      </c>
    </row>
    <row r="87" spans="1:83" s="148" customFormat="1" ht="27" customHeight="1" x14ac:dyDescent="0.2">
      <c r="A87" s="549" t="s">
        <v>199</v>
      </c>
      <c r="B87" s="713" t="s">
        <v>134</v>
      </c>
      <c r="C87" s="713"/>
      <c r="D87" s="299"/>
      <c r="E87" s="299"/>
      <c r="F87" s="299"/>
      <c r="G87" s="299"/>
      <c r="H87" s="299"/>
      <c r="I87" s="550"/>
      <c r="J87" s="550"/>
      <c r="K87" s="550">
        <f t="shared" ref="K87:AH87" si="166">SUM(K88:K89)</f>
        <v>1116</v>
      </c>
      <c r="L87" s="550">
        <f t="shared" si="166"/>
        <v>1116</v>
      </c>
      <c r="M87" s="550">
        <f t="shared" si="166"/>
        <v>0</v>
      </c>
      <c r="N87" s="550">
        <f t="shared" si="166"/>
        <v>0</v>
      </c>
      <c r="O87" s="550">
        <f t="shared" si="166"/>
        <v>0</v>
      </c>
      <c r="P87" s="550">
        <f t="shared" si="166"/>
        <v>1116</v>
      </c>
      <c r="Q87" s="550">
        <f t="shared" si="166"/>
        <v>0</v>
      </c>
      <c r="R87" s="550">
        <f t="shared" si="166"/>
        <v>0</v>
      </c>
      <c r="S87" s="550">
        <f t="shared" si="166"/>
        <v>0</v>
      </c>
      <c r="T87" s="550">
        <f t="shared" si="166"/>
        <v>0</v>
      </c>
      <c r="U87" s="550">
        <f t="shared" si="166"/>
        <v>0</v>
      </c>
      <c r="V87" s="550">
        <f t="shared" si="166"/>
        <v>0</v>
      </c>
      <c r="W87" s="550">
        <f t="shared" si="166"/>
        <v>0</v>
      </c>
      <c r="X87" s="550">
        <f t="shared" si="166"/>
        <v>0</v>
      </c>
      <c r="Y87" s="550">
        <f t="shared" si="166"/>
        <v>0</v>
      </c>
      <c r="Z87" s="550">
        <f t="shared" si="166"/>
        <v>0</v>
      </c>
      <c r="AA87" s="550">
        <f t="shared" si="166"/>
        <v>0</v>
      </c>
      <c r="AB87" s="550">
        <f t="shared" si="166"/>
        <v>0</v>
      </c>
      <c r="AC87" s="550">
        <f t="shared" si="166"/>
        <v>0</v>
      </c>
      <c r="AD87" s="550">
        <f t="shared" si="166"/>
        <v>0</v>
      </c>
      <c r="AE87" s="550">
        <f t="shared" si="166"/>
        <v>0</v>
      </c>
      <c r="AF87" s="550">
        <f t="shared" si="166"/>
        <v>0</v>
      </c>
      <c r="AG87" s="550">
        <f t="shared" si="166"/>
        <v>0</v>
      </c>
      <c r="AH87" s="550">
        <f t="shared" si="166"/>
        <v>0</v>
      </c>
      <c r="AI87" s="550">
        <f t="shared" ref="AI87:BF87" si="167">SUM(AI88:AI89)</f>
        <v>0</v>
      </c>
      <c r="AJ87" s="550">
        <f t="shared" si="167"/>
        <v>0</v>
      </c>
      <c r="AK87" s="550">
        <f t="shared" si="167"/>
        <v>0</v>
      </c>
      <c r="AL87" s="550">
        <f t="shared" si="167"/>
        <v>0</v>
      </c>
      <c r="AM87" s="550">
        <f t="shared" si="167"/>
        <v>0</v>
      </c>
      <c r="AN87" s="550">
        <f t="shared" si="167"/>
        <v>0</v>
      </c>
      <c r="AO87" s="550">
        <f t="shared" si="167"/>
        <v>0</v>
      </c>
      <c r="AP87" s="550">
        <f t="shared" si="167"/>
        <v>0</v>
      </c>
      <c r="AQ87" s="550">
        <f t="shared" si="167"/>
        <v>0</v>
      </c>
      <c r="AR87" s="550">
        <f t="shared" si="167"/>
        <v>0</v>
      </c>
      <c r="AS87" s="550">
        <f t="shared" si="167"/>
        <v>0</v>
      </c>
      <c r="AT87" s="550">
        <f t="shared" si="167"/>
        <v>0</v>
      </c>
      <c r="AU87" s="550">
        <f t="shared" si="167"/>
        <v>0</v>
      </c>
      <c r="AV87" s="550">
        <f t="shared" si="167"/>
        <v>648</v>
      </c>
      <c r="AW87" s="550">
        <f t="shared" si="167"/>
        <v>0</v>
      </c>
      <c r="AX87" s="550">
        <f t="shared" si="167"/>
        <v>0</v>
      </c>
      <c r="AY87" s="550">
        <f t="shared" si="167"/>
        <v>0</v>
      </c>
      <c r="AZ87" s="550">
        <f t="shared" si="167"/>
        <v>648</v>
      </c>
      <c r="BA87" s="550">
        <f t="shared" si="167"/>
        <v>0</v>
      </c>
      <c r="BB87" s="550">
        <f t="shared" si="167"/>
        <v>468</v>
      </c>
      <c r="BC87" s="550">
        <f t="shared" si="167"/>
        <v>0</v>
      </c>
      <c r="BD87" s="550">
        <f t="shared" si="167"/>
        <v>0</v>
      </c>
      <c r="BE87" s="550">
        <f t="shared" si="167"/>
        <v>0</v>
      </c>
      <c r="BF87" s="550">
        <f t="shared" si="167"/>
        <v>468</v>
      </c>
      <c r="BG87" s="550">
        <f t="shared" ref="BG87:CC87" si="168">SUM(BG88:BG89)</f>
        <v>0</v>
      </c>
      <c r="BH87" s="550">
        <f t="shared" si="168"/>
        <v>0</v>
      </c>
      <c r="BI87" s="550">
        <f t="shared" si="168"/>
        <v>0</v>
      </c>
      <c r="BJ87" s="550">
        <f t="shared" si="168"/>
        <v>0</v>
      </c>
      <c r="BK87" s="550">
        <f t="shared" si="168"/>
        <v>0</v>
      </c>
      <c r="BL87" s="550">
        <f t="shared" si="168"/>
        <v>0</v>
      </c>
      <c r="BM87" s="550">
        <f t="shared" si="168"/>
        <v>0</v>
      </c>
      <c r="BN87" s="550">
        <f t="shared" si="168"/>
        <v>0</v>
      </c>
      <c r="BO87" s="550">
        <f t="shared" si="168"/>
        <v>0</v>
      </c>
      <c r="BP87" s="550">
        <f t="shared" si="168"/>
        <v>0</v>
      </c>
      <c r="BQ87" s="550">
        <f t="shared" si="168"/>
        <v>0</v>
      </c>
      <c r="BR87" s="550">
        <f t="shared" si="168"/>
        <v>0</v>
      </c>
      <c r="BS87" s="550">
        <f t="shared" si="168"/>
        <v>0</v>
      </c>
      <c r="BT87" s="550">
        <f t="shared" si="168"/>
        <v>0</v>
      </c>
      <c r="BU87" s="550">
        <f t="shared" si="168"/>
        <v>0</v>
      </c>
      <c r="BV87" s="550">
        <f t="shared" si="168"/>
        <v>0</v>
      </c>
      <c r="BW87" s="550">
        <f t="shared" si="168"/>
        <v>0</v>
      </c>
      <c r="BX87" s="550">
        <f t="shared" si="168"/>
        <v>0</v>
      </c>
      <c r="BY87" s="550">
        <f t="shared" si="168"/>
        <v>0</v>
      </c>
      <c r="BZ87" s="550">
        <f t="shared" si="168"/>
        <v>0</v>
      </c>
      <c r="CA87" s="550">
        <f t="shared" si="168"/>
        <v>0</v>
      </c>
      <c r="CB87" s="550">
        <f t="shared" si="168"/>
        <v>0</v>
      </c>
      <c r="CC87" s="550">
        <f t="shared" si="168"/>
        <v>0</v>
      </c>
      <c r="CD87" s="299"/>
      <c r="CE87" s="299"/>
    </row>
    <row r="88" spans="1:83" s="142" customFormat="1" ht="25.5" x14ac:dyDescent="0.2">
      <c r="A88" s="584" t="s">
        <v>200</v>
      </c>
      <c r="B88" s="134" t="s">
        <v>562</v>
      </c>
      <c r="C88" s="134"/>
      <c r="D88" s="135"/>
      <c r="E88" s="135" t="s">
        <v>42</v>
      </c>
      <c r="F88" s="135"/>
      <c r="G88" s="135"/>
      <c r="H88" s="135"/>
      <c r="I88" s="139"/>
      <c r="J88" s="139"/>
      <c r="K88" s="138">
        <f>L88+SUM(Q88:Q88)</f>
        <v>972</v>
      </c>
      <c r="L88" s="138">
        <f>SUM(M88:P88)</f>
        <v>972</v>
      </c>
      <c r="M88" s="138">
        <f t="shared" ref="M88:P89" si="169">S88+Y88+AE88+AK88+AQ88+AW88+BC88+BI88+BP88+BX88</f>
        <v>0</v>
      </c>
      <c r="N88" s="138">
        <f t="shared" si="169"/>
        <v>0</v>
      </c>
      <c r="O88" s="138">
        <f t="shared" si="169"/>
        <v>0</v>
      </c>
      <c r="P88" s="138">
        <f t="shared" si="169"/>
        <v>972</v>
      </c>
      <c r="Q88" s="138">
        <f>W88+AC88+AI88+AO88+AU88+BA88+BG88+BM88+BU88+CC88</f>
        <v>0</v>
      </c>
      <c r="R88" s="253">
        <f>SUM(S88:W88)</f>
        <v>0</v>
      </c>
      <c r="S88" s="139"/>
      <c r="T88" s="139"/>
      <c r="U88" s="139"/>
      <c r="V88" s="139"/>
      <c r="W88" s="139"/>
      <c r="X88" s="253">
        <f>SUM(Y88:AC88)</f>
        <v>0</v>
      </c>
      <c r="Y88" s="139"/>
      <c r="Z88" s="139"/>
      <c r="AA88" s="139"/>
      <c r="AB88" s="139"/>
      <c r="AC88" s="139"/>
      <c r="AD88" s="253">
        <f>SUM(AE88:AI88)</f>
        <v>0</v>
      </c>
      <c r="AE88" s="139"/>
      <c r="AF88" s="139"/>
      <c r="AG88" s="139"/>
      <c r="AH88" s="139"/>
      <c r="AI88" s="139"/>
      <c r="AJ88" s="253">
        <f>SUM(AK88:AO88)</f>
        <v>0</v>
      </c>
      <c r="AK88" s="139"/>
      <c r="AL88" s="139"/>
      <c r="AM88" s="139"/>
      <c r="AN88" s="139"/>
      <c r="AO88" s="139"/>
      <c r="AP88" s="253">
        <f>SUM(AQ88:AU88)</f>
        <v>0</v>
      </c>
      <c r="AQ88" s="139"/>
      <c r="AR88" s="139"/>
      <c r="AS88" s="139"/>
      <c r="AT88" s="139"/>
      <c r="AU88" s="139"/>
      <c r="AV88" s="253">
        <f>SUM(AW88:BA88)</f>
        <v>648</v>
      </c>
      <c r="AW88" s="139"/>
      <c r="AX88" s="139"/>
      <c r="AY88" s="139"/>
      <c r="AZ88" s="139">
        <v>648</v>
      </c>
      <c r="BA88" s="139"/>
      <c r="BB88" s="253">
        <f>SUM(BC88:BG88)</f>
        <v>324</v>
      </c>
      <c r="BC88" s="139"/>
      <c r="BD88" s="139"/>
      <c r="BE88" s="139"/>
      <c r="BF88" s="139">
        <v>324</v>
      </c>
      <c r="BG88" s="139"/>
      <c r="BH88" s="253">
        <f>SUM(BI88:BM88)</f>
        <v>0</v>
      </c>
      <c r="BI88" s="139"/>
      <c r="BJ88" s="139"/>
      <c r="BK88" s="139"/>
      <c r="BL88" s="139"/>
      <c r="BM88" s="139"/>
      <c r="BN88" s="253"/>
      <c r="BO88" s="139"/>
      <c r="BP88" s="139"/>
      <c r="BQ88" s="139"/>
      <c r="BR88" s="139"/>
      <c r="BS88" s="139"/>
      <c r="BT88" s="139"/>
      <c r="BU88" s="139"/>
      <c r="BV88" s="253"/>
      <c r="BW88" s="139"/>
      <c r="BX88" s="139"/>
      <c r="BY88" s="139"/>
      <c r="BZ88" s="139"/>
      <c r="CA88" s="139"/>
      <c r="CB88" s="139"/>
      <c r="CC88" s="139"/>
      <c r="CD88" s="135" t="s">
        <v>515</v>
      </c>
      <c r="CE88" s="620" t="s">
        <v>615</v>
      </c>
    </row>
    <row r="89" spans="1:83" s="142" customFormat="1" ht="25.5" x14ac:dyDescent="0.2">
      <c r="A89" s="584" t="s">
        <v>480</v>
      </c>
      <c r="B89" s="134" t="s">
        <v>479</v>
      </c>
      <c r="C89" s="134"/>
      <c r="D89" s="135"/>
      <c r="E89" s="490" t="s">
        <v>42</v>
      </c>
      <c r="F89" s="135"/>
      <c r="G89" s="135"/>
      <c r="H89" s="135"/>
      <c r="I89" s="139"/>
      <c r="J89" s="139"/>
      <c r="K89" s="138">
        <f>L89+SUM(Q89:Q89)</f>
        <v>144</v>
      </c>
      <c r="L89" s="138">
        <f>SUM(M89:P89)</f>
        <v>144</v>
      </c>
      <c r="M89" s="138">
        <f t="shared" si="169"/>
        <v>0</v>
      </c>
      <c r="N89" s="138">
        <f t="shared" si="169"/>
        <v>0</v>
      </c>
      <c r="O89" s="138">
        <f t="shared" si="169"/>
        <v>0</v>
      </c>
      <c r="P89" s="138">
        <f t="shared" si="169"/>
        <v>144</v>
      </c>
      <c r="Q89" s="138">
        <f>W89+AC89+AI89+AO89+AU89+BA89+BG89+BM89+BU89+CC89</f>
        <v>0</v>
      </c>
      <c r="R89" s="253">
        <f>SUM(S89:W89)</f>
        <v>0</v>
      </c>
      <c r="S89" s="139"/>
      <c r="T89" s="139"/>
      <c r="U89" s="139"/>
      <c r="V89" s="139"/>
      <c r="W89" s="139"/>
      <c r="X89" s="253">
        <f>SUM(Y89:AC89)</f>
        <v>0</v>
      </c>
      <c r="Y89" s="139"/>
      <c r="Z89" s="139"/>
      <c r="AA89" s="139"/>
      <c r="AB89" s="139"/>
      <c r="AC89" s="139"/>
      <c r="AD89" s="253">
        <f>SUM(AE89:AI89)</f>
        <v>0</v>
      </c>
      <c r="AE89" s="139"/>
      <c r="AF89" s="139"/>
      <c r="AG89" s="139"/>
      <c r="AH89" s="139"/>
      <c r="AI89" s="139"/>
      <c r="AJ89" s="253">
        <f>SUM(AK89:AO89)</f>
        <v>0</v>
      </c>
      <c r="AK89" s="139"/>
      <c r="AL89" s="139"/>
      <c r="AM89" s="139"/>
      <c r="AN89" s="139"/>
      <c r="AO89" s="139"/>
      <c r="AP89" s="253">
        <f>SUM(AQ89:AU89)</f>
        <v>0</v>
      </c>
      <c r="AQ89" s="139"/>
      <c r="AR89" s="139"/>
      <c r="AS89" s="139"/>
      <c r="AT89" s="139"/>
      <c r="AU89" s="139"/>
      <c r="AV89" s="253">
        <f>SUM(AW89:BA89)</f>
        <v>0</v>
      </c>
      <c r="AW89" s="139"/>
      <c r="AX89" s="139"/>
      <c r="AY89" s="139"/>
      <c r="AZ89" s="139"/>
      <c r="BA89" s="139"/>
      <c r="BB89" s="253">
        <f>SUM(BC89:BG89)</f>
        <v>144</v>
      </c>
      <c r="BC89" s="139"/>
      <c r="BD89" s="139"/>
      <c r="BE89" s="139"/>
      <c r="BF89" s="139">
        <v>144</v>
      </c>
      <c r="BG89" s="139"/>
      <c r="BH89" s="253">
        <f>SUM(BI89:BM89)</f>
        <v>0</v>
      </c>
      <c r="BI89" s="139"/>
      <c r="BJ89" s="139"/>
      <c r="BK89" s="139"/>
      <c r="BL89" s="139"/>
      <c r="BM89" s="139"/>
      <c r="BN89" s="253"/>
      <c r="BO89" s="139"/>
      <c r="BP89" s="139"/>
      <c r="BQ89" s="139"/>
      <c r="BR89" s="139"/>
      <c r="BS89" s="139"/>
      <c r="BT89" s="139"/>
      <c r="BU89" s="139"/>
      <c r="BV89" s="253"/>
      <c r="BW89" s="139"/>
      <c r="BX89" s="139"/>
      <c r="BY89" s="139"/>
      <c r="BZ89" s="139"/>
      <c r="CA89" s="139"/>
      <c r="CB89" s="139"/>
      <c r="CC89" s="139"/>
      <c r="CD89" s="135" t="s">
        <v>515</v>
      </c>
      <c r="CE89" s="620" t="s">
        <v>615</v>
      </c>
    </row>
    <row r="90" spans="1:83" s="148" customFormat="1" ht="27.75" customHeight="1" x14ac:dyDescent="0.2">
      <c r="A90" s="549" t="s">
        <v>201</v>
      </c>
      <c r="B90" s="713" t="s">
        <v>575</v>
      </c>
      <c r="C90" s="713"/>
      <c r="D90" s="299"/>
      <c r="E90" s="299"/>
      <c r="F90" s="299"/>
      <c r="G90" s="299"/>
      <c r="H90" s="299"/>
      <c r="I90" s="550"/>
      <c r="J90" s="550" t="s">
        <v>22</v>
      </c>
      <c r="K90" s="550">
        <f t="shared" ref="K90:BF90" si="170">SUM(K91:K92)</f>
        <v>216</v>
      </c>
      <c r="L90" s="550">
        <f t="shared" si="170"/>
        <v>0</v>
      </c>
      <c r="M90" s="550">
        <f t="shared" si="170"/>
        <v>0</v>
      </c>
      <c r="N90" s="550">
        <f t="shared" si="170"/>
        <v>0</v>
      </c>
      <c r="O90" s="550">
        <f t="shared" si="170"/>
        <v>0</v>
      </c>
      <c r="P90" s="550">
        <f t="shared" si="170"/>
        <v>0</v>
      </c>
      <c r="Q90" s="550">
        <f t="shared" si="170"/>
        <v>216</v>
      </c>
      <c r="R90" s="550">
        <f t="shared" si="170"/>
        <v>0</v>
      </c>
      <c r="S90" s="550">
        <f t="shared" si="170"/>
        <v>0</v>
      </c>
      <c r="T90" s="550">
        <f t="shared" si="170"/>
        <v>0</v>
      </c>
      <c r="U90" s="550">
        <f t="shared" si="170"/>
        <v>0</v>
      </c>
      <c r="V90" s="550">
        <f t="shared" si="170"/>
        <v>0</v>
      </c>
      <c r="W90" s="550">
        <f t="shared" si="170"/>
        <v>0</v>
      </c>
      <c r="X90" s="550">
        <f t="shared" si="170"/>
        <v>0</v>
      </c>
      <c r="Y90" s="550">
        <f t="shared" si="170"/>
        <v>0</v>
      </c>
      <c r="Z90" s="550">
        <f t="shared" si="170"/>
        <v>0</v>
      </c>
      <c r="AA90" s="550">
        <f t="shared" si="170"/>
        <v>0</v>
      </c>
      <c r="AB90" s="550">
        <f t="shared" si="170"/>
        <v>0</v>
      </c>
      <c r="AC90" s="550">
        <f t="shared" si="170"/>
        <v>0</v>
      </c>
      <c r="AD90" s="550">
        <f t="shared" si="170"/>
        <v>0</v>
      </c>
      <c r="AE90" s="550">
        <f t="shared" si="170"/>
        <v>0</v>
      </c>
      <c r="AF90" s="550">
        <f t="shared" si="170"/>
        <v>0</v>
      </c>
      <c r="AG90" s="550">
        <f t="shared" si="170"/>
        <v>0</v>
      </c>
      <c r="AH90" s="550">
        <f t="shared" si="170"/>
        <v>0</v>
      </c>
      <c r="AI90" s="550">
        <f t="shared" si="170"/>
        <v>0</v>
      </c>
      <c r="AJ90" s="550">
        <f t="shared" si="170"/>
        <v>0</v>
      </c>
      <c r="AK90" s="550">
        <f t="shared" si="170"/>
        <v>0</v>
      </c>
      <c r="AL90" s="550">
        <f t="shared" si="170"/>
        <v>0</v>
      </c>
      <c r="AM90" s="550">
        <f t="shared" si="170"/>
        <v>0</v>
      </c>
      <c r="AN90" s="550">
        <f t="shared" si="170"/>
        <v>0</v>
      </c>
      <c r="AO90" s="550">
        <f t="shared" si="170"/>
        <v>0</v>
      </c>
      <c r="AP90" s="550">
        <f t="shared" si="170"/>
        <v>0</v>
      </c>
      <c r="AQ90" s="550">
        <f t="shared" si="170"/>
        <v>0</v>
      </c>
      <c r="AR90" s="550">
        <f t="shared" si="170"/>
        <v>0</v>
      </c>
      <c r="AS90" s="550">
        <f t="shared" si="170"/>
        <v>0</v>
      </c>
      <c r="AT90" s="550">
        <f t="shared" si="170"/>
        <v>0</v>
      </c>
      <c r="AU90" s="550">
        <f t="shared" si="170"/>
        <v>0</v>
      </c>
      <c r="AV90" s="550">
        <f t="shared" si="170"/>
        <v>0</v>
      </c>
      <c r="AW90" s="550">
        <f t="shared" si="170"/>
        <v>0</v>
      </c>
      <c r="AX90" s="550">
        <f t="shared" si="170"/>
        <v>0</v>
      </c>
      <c r="AY90" s="550">
        <f t="shared" si="170"/>
        <v>0</v>
      </c>
      <c r="AZ90" s="550">
        <f t="shared" si="170"/>
        <v>0</v>
      </c>
      <c r="BA90" s="550">
        <f t="shared" si="170"/>
        <v>0</v>
      </c>
      <c r="BB90" s="550">
        <f t="shared" si="170"/>
        <v>0</v>
      </c>
      <c r="BC90" s="550">
        <f t="shared" si="170"/>
        <v>0</v>
      </c>
      <c r="BD90" s="550">
        <f t="shared" si="170"/>
        <v>0</v>
      </c>
      <c r="BE90" s="550">
        <f t="shared" si="170"/>
        <v>0</v>
      </c>
      <c r="BF90" s="550">
        <f t="shared" si="170"/>
        <v>0</v>
      </c>
      <c r="BG90" s="550">
        <f t="shared" ref="BG90:BZ90" si="171">SUM(BG91:BG92)</f>
        <v>0</v>
      </c>
      <c r="BH90" s="550">
        <f t="shared" si="171"/>
        <v>216</v>
      </c>
      <c r="BI90" s="550">
        <f t="shared" si="171"/>
        <v>0</v>
      </c>
      <c r="BJ90" s="550">
        <f t="shared" si="171"/>
        <v>0</v>
      </c>
      <c r="BK90" s="550">
        <f t="shared" si="171"/>
        <v>0</v>
      </c>
      <c r="BL90" s="550">
        <f t="shared" si="171"/>
        <v>0</v>
      </c>
      <c r="BM90" s="550">
        <f t="shared" si="171"/>
        <v>216</v>
      </c>
      <c r="BN90" s="550">
        <f t="shared" si="171"/>
        <v>0</v>
      </c>
      <c r="BO90" s="550">
        <f t="shared" si="171"/>
        <v>0</v>
      </c>
      <c r="BP90" s="550">
        <f t="shared" si="171"/>
        <v>0</v>
      </c>
      <c r="BQ90" s="550">
        <f t="shared" si="171"/>
        <v>0</v>
      </c>
      <c r="BR90" s="550">
        <f t="shared" si="171"/>
        <v>0</v>
      </c>
      <c r="BS90" s="550">
        <f t="shared" si="171"/>
        <v>0</v>
      </c>
      <c r="BT90" s="550">
        <f t="shared" si="171"/>
        <v>0</v>
      </c>
      <c r="BU90" s="550">
        <f t="shared" si="171"/>
        <v>0</v>
      </c>
      <c r="BV90" s="550">
        <f t="shared" si="171"/>
        <v>0</v>
      </c>
      <c r="BW90" s="550">
        <f t="shared" si="171"/>
        <v>0</v>
      </c>
      <c r="BX90" s="550">
        <f t="shared" si="171"/>
        <v>0</v>
      </c>
      <c r="BY90" s="550">
        <f t="shared" si="171"/>
        <v>0</v>
      </c>
      <c r="BZ90" s="550">
        <f t="shared" si="171"/>
        <v>0</v>
      </c>
      <c r="CA90" s="550">
        <f>SUM(CA91:CA92)</f>
        <v>0</v>
      </c>
      <c r="CB90" s="550">
        <f>SUM(CB91:CB92)</f>
        <v>0</v>
      </c>
      <c r="CC90" s="550">
        <f>SUM(CC91:CC92)</f>
        <v>0</v>
      </c>
      <c r="CD90" s="299"/>
      <c r="CE90" s="299"/>
    </row>
    <row r="91" spans="1:83" s="142" customFormat="1" ht="25.5" hidden="1" x14ac:dyDescent="0.2">
      <c r="A91" s="190" t="s">
        <v>203</v>
      </c>
      <c r="B91" s="134" t="s">
        <v>351</v>
      </c>
      <c r="C91" s="134"/>
      <c r="D91" s="135"/>
      <c r="E91" s="135"/>
      <c r="F91" s="135"/>
      <c r="G91" s="135"/>
      <c r="H91" s="191"/>
      <c r="I91" s="136"/>
      <c r="J91" s="137"/>
      <c r="K91" s="315">
        <f>L91+SUM(Q91:Q91)</f>
        <v>216</v>
      </c>
      <c r="L91" s="138">
        <f>SUM(M91:P91)</f>
        <v>0</v>
      </c>
      <c r="M91" s="138">
        <f t="shared" ref="M91:P92" si="172">S91+Y91+AE91+AK91+AQ91+AW91+BC91+BI91+BP91+BX91</f>
        <v>0</v>
      </c>
      <c r="N91" s="138">
        <f t="shared" si="172"/>
        <v>0</v>
      </c>
      <c r="O91" s="138">
        <f t="shared" si="172"/>
        <v>0</v>
      </c>
      <c r="P91" s="138">
        <f t="shared" si="172"/>
        <v>0</v>
      </c>
      <c r="Q91" s="316">
        <f>W91+AC91+AI91+AO91+AU91+BA91+BG91+BM91+BU91+CC91</f>
        <v>216</v>
      </c>
      <c r="R91" s="141">
        <f>SUM(S91:W91)</f>
        <v>0</v>
      </c>
      <c r="S91" s="139"/>
      <c r="T91" s="139"/>
      <c r="U91" s="139"/>
      <c r="V91" s="139"/>
      <c r="W91" s="137"/>
      <c r="X91" s="161">
        <f>SUM(Y91:AC91)</f>
        <v>0</v>
      </c>
      <c r="Y91" s="139"/>
      <c r="Z91" s="139"/>
      <c r="AA91" s="139"/>
      <c r="AB91" s="139"/>
      <c r="AC91" s="140"/>
      <c r="AD91" s="141">
        <f>SUM(AE91:AI91)</f>
        <v>0</v>
      </c>
      <c r="AE91" s="139"/>
      <c r="AF91" s="139"/>
      <c r="AG91" s="139"/>
      <c r="AH91" s="139"/>
      <c r="AI91" s="137"/>
      <c r="AJ91" s="141">
        <f>SUM(AK91:AO91)</f>
        <v>0</v>
      </c>
      <c r="AK91" s="139"/>
      <c r="AL91" s="139"/>
      <c r="AM91" s="139"/>
      <c r="AN91" s="139"/>
      <c r="AO91" s="137"/>
      <c r="AP91" s="141">
        <f>SUM(AQ91:AU91)</f>
        <v>0</v>
      </c>
      <c r="AQ91" s="139"/>
      <c r="AR91" s="139"/>
      <c r="AS91" s="139"/>
      <c r="AT91" s="139"/>
      <c r="AU91" s="137"/>
      <c r="AV91" s="141">
        <f>SUM(AW91:BA91)</f>
        <v>0</v>
      </c>
      <c r="AW91" s="139"/>
      <c r="AX91" s="139"/>
      <c r="AY91" s="139"/>
      <c r="AZ91" s="139"/>
      <c r="BA91" s="137"/>
      <c r="BB91" s="141">
        <f>SUM(BC91:BG91)</f>
        <v>0</v>
      </c>
      <c r="BC91" s="139"/>
      <c r="BD91" s="139"/>
      <c r="BE91" s="139"/>
      <c r="BF91" s="139"/>
      <c r="BG91" s="137"/>
      <c r="BH91" s="141">
        <f>SUM(BI91:BM91)</f>
        <v>216</v>
      </c>
      <c r="BI91" s="139"/>
      <c r="BJ91" s="139"/>
      <c r="BK91" s="139"/>
      <c r="BL91" s="139"/>
      <c r="BM91" s="139">
        <v>216</v>
      </c>
      <c r="BN91" s="161">
        <f>SUM(BO91:BU91)</f>
        <v>0</v>
      </c>
      <c r="BO91" s="139"/>
      <c r="BP91" s="139"/>
      <c r="BQ91" s="139"/>
      <c r="BR91" s="139"/>
      <c r="BS91" s="139"/>
      <c r="BT91" s="139"/>
      <c r="BU91" s="139"/>
      <c r="BV91" s="253">
        <f>SUM(BW91:CC91)</f>
        <v>0</v>
      </c>
      <c r="BW91" s="139"/>
      <c r="BX91" s="139"/>
      <c r="BY91" s="139"/>
      <c r="BZ91" s="139"/>
      <c r="CA91" s="139"/>
      <c r="CB91" s="139"/>
      <c r="CC91" s="140"/>
      <c r="CD91" s="200" t="s">
        <v>514</v>
      </c>
      <c r="CE91" s="137" t="s">
        <v>372</v>
      </c>
    </row>
    <row r="92" spans="1:83" s="142" customFormat="1" ht="25.5" hidden="1" x14ac:dyDescent="0.2">
      <c r="A92" s="190" t="s">
        <v>204</v>
      </c>
      <c r="B92" s="134" t="s">
        <v>352</v>
      </c>
      <c r="C92" s="134"/>
      <c r="D92" s="309"/>
      <c r="E92" s="135"/>
      <c r="F92" s="135"/>
      <c r="G92" s="135"/>
      <c r="H92" s="191"/>
      <c r="I92" s="136"/>
      <c r="J92" s="137"/>
      <c r="K92" s="315">
        <f>L92+SUM(Q92:Q92)</f>
        <v>0</v>
      </c>
      <c r="L92" s="138">
        <f>SUM(M92:P92)</f>
        <v>0</v>
      </c>
      <c r="M92" s="138">
        <f t="shared" si="172"/>
        <v>0</v>
      </c>
      <c r="N92" s="138">
        <f t="shared" si="172"/>
        <v>0</v>
      </c>
      <c r="O92" s="138">
        <f t="shared" si="172"/>
        <v>0</v>
      </c>
      <c r="P92" s="138">
        <f t="shared" si="172"/>
        <v>0</v>
      </c>
      <c r="Q92" s="316">
        <f>W92+AC92+AI92+AO92+AU92+BA92+BG92+BM92+BU92+CC92</f>
        <v>0</v>
      </c>
      <c r="R92" s="141"/>
      <c r="S92" s="139"/>
      <c r="T92" s="139"/>
      <c r="U92" s="139"/>
      <c r="V92" s="139"/>
      <c r="W92" s="137"/>
      <c r="X92" s="161">
        <f>SUM(Y92:AC92)</f>
        <v>0</v>
      </c>
      <c r="Y92" s="139"/>
      <c r="Z92" s="139"/>
      <c r="AA92" s="139"/>
      <c r="AB92" s="139"/>
      <c r="AC92" s="140"/>
      <c r="AD92" s="141">
        <f>SUM(AE92:AI92)</f>
        <v>0</v>
      </c>
      <c r="AE92" s="139"/>
      <c r="AF92" s="139"/>
      <c r="AG92" s="139"/>
      <c r="AH92" s="139"/>
      <c r="AI92" s="137"/>
      <c r="AJ92" s="141">
        <f>SUM(AK92:AO92)</f>
        <v>0</v>
      </c>
      <c r="AK92" s="139"/>
      <c r="AL92" s="139"/>
      <c r="AM92" s="139"/>
      <c r="AN92" s="139"/>
      <c r="AO92" s="137"/>
      <c r="AP92" s="141">
        <f>SUM(AQ92:AU92)</f>
        <v>0</v>
      </c>
      <c r="AQ92" s="139"/>
      <c r="AR92" s="139"/>
      <c r="AS92" s="139"/>
      <c r="AT92" s="139"/>
      <c r="AU92" s="137"/>
      <c r="AV92" s="141">
        <f>SUM(AW92:BA92)</f>
        <v>0</v>
      </c>
      <c r="AW92" s="139"/>
      <c r="AX92" s="139"/>
      <c r="AY92" s="139"/>
      <c r="AZ92" s="139"/>
      <c r="BA92" s="137"/>
      <c r="BB92" s="141">
        <f>SUM(BC92:BG92)</f>
        <v>0</v>
      </c>
      <c r="BC92" s="139"/>
      <c r="BD92" s="139"/>
      <c r="BE92" s="139"/>
      <c r="BF92" s="139"/>
      <c r="BG92" s="137"/>
      <c r="BH92" s="141">
        <f>SUM(BI92:BM92)</f>
        <v>0</v>
      </c>
      <c r="BI92" s="139"/>
      <c r="BJ92" s="139"/>
      <c r="BK92" s="139"/>
      <c r="BL92" s="139"/>
      <c r="BM92" s="139"/>
      <c r="BN92" s="161">
        <f>SUM(BO92:BU92)</f>
        <v>0</v>
      </c>
      <c r="BO92" s="139"/>
      <c r="BP92" s="139"/>
      <c r="BQ92" s="139"/>
      <c r="BR92" s="139"/>
      <c r="BS92" s="139"/>
      <c r="BT92" s="139"/>
      <c r="BU92" s="139"/>
      <c r="BV92" s="253">
        <f>SUM(BW92:CC92)</f>
        <v>0</v>
      </c>
      <c r="BW92" s="139"/>
      <c r="BX92" s="139"/>
      <c r="BY92" s="139"/>
      <c r="BZ92" s="139"/>
      <c r="CA92" s="139"/>
      <c r="CB92" s="139"/>
      <c r="CC92" s="140"/>
      <c r="CD92" s="200" t="s">
        <v>514</v>
      </c>
      <c r="CE92" s="137" t="s">
        <v>372</v>
      </c>
    </row>
    <row r="93" spans="1:83" s="148" customFormat="1" hidden="1" x14ac:dyDescent="0.2">
      <c r="A93" s="488"/>
      <c r="B93" s="487" t="s">
        <v>179</v>
      </c>
      <c r="C93" s="489"/>
      <c r="D93" s="308"/>
      <c r="E93" s="308"/>
      <c r="F93" s="308"/>
      <c r="G93" s="308"/>
      <c r="H93" s="311"/>
      <c r="I93" s="313"/>
      <c r="J93" s="314" t="s">
        <v>22</v>
      </c>
      <c r="K93" s="313">
        <f>SUM(L93:Q93)</f>
        <v>0</v>
      </c>
      <c r="L93" s="300"/>
      <c r="M93" s="300"/>
      <c r="N93" s="300"/>
      <c r="O93" s="300"/>
      <c r="P93" s="300"/>
      <c r="Q93" s="314"/>
      <c r="R93" s="313">
        <f>SUM(S93:W93)</f>
        <v>0</v>
      </c>
      <c r="S93" s="300"/>
      <c r="T93" s="300"/>
      <c r="U93" s="300"/>
      <c r="V93" s="300"/>
      <c r="W93" s="314"/>
      <c r="X93" s="310">
        <f>SUM(Y93:AC93)</f>
        <v>0</v>
      </c>
      <c r="Y93" s="300"/>
      <c r="Z93" s="300"/>
      <c r="AA93" s="300"/>
      <c r="AB93" s="300"/>
      <c r="AC93" s="317"/>
      <c r="AD93" s="313">
        <f>SUM(AE93:AI93)</f>
        <v>0</v>
      </c>
      <c r="AE93" s="300"/>
      <c r="AF93" s="300"/>
      <c r="AG93" s="300"/>
      <c r="AH93" s="300"/>
      <c r="AI93" s="314"/>
      <c r="AJ93" s="313">
        <f>SUM(AK93:AO93)</f>
        <v>0</v>
      </c>
      <c r="AK93" s="300"/>
      <c r="AL93" s="300"/>
      <c r="AM93" s="300"/>
      <c r="AN93" s="300"/>
      <c r="AO93" s="314"/>
      <c r="AP93" s="313">
        <f>SUM(AQ93:AU93)</f>
        <v>0</v>
      </c>
      <c r="AQ93" s="300"/>
      <c r="AR93" s="300"/>
      <c r="AS93" s="300"/>
      <c r="AT93" s="300"/>
      <c r="AU93" s="314"/>
      <c r="AV93" s="313">
        <f>SUM(AW93:BA93)</f>
        <v>0</v>
      </c>
      <c r="AW93" s="300"/>
      <c r="AX93" s="300"/>
      <c r="AY93" s="300"/>
      <c r="AZ93" s="300"/>
      <c r="BA93" s="314"/>
      <c r="BB93" s="313">
        <f>SUM(BC93:BG93)</f>
        <v>0</v>
      </c>
      <c r="BC93" s="300"/>
      <c r="BD93" s="300"/>
      <c r="BE93" s="300"/>
      <c r="BF93" s="300"/>
      <c r="BG93" s="314"/>
      <c r="BH93" s="313">
        <f>SUM(BI93:BM93)</f>
        <v>0</v>
      </c>
      <c r="BI93" s="300"/>
      <c r="BJ93" s="300"/>
      <c r="BK93" s="300"/>
      <c r="BL93" s="300"/>
      <c r="BM93" s="314"/>
      <c r="BN93" s="310">
        <f>SUM(BO93:BU93)</f>
        <v>0</v>
      </c>
      <c r="BO93" s="300"/>
      <c r="BP93" s="300"/>
      <c r="BQ93" s="300"/>
      <c r="BR93" s="300"/>
      <c r="BS93" s="300"/>
      <c r="BT93" s="300">
        <f>BT10+BT27+BT74+BT80+BT87+BT90</f>
        <v>0</v>
      </c>
      <c r="BU93" s="300"/>
      <c r="BV93" s="300">
        <f>SUM(BW93:CC93)</f>
        <v>0</v>
      </c>
      <c r="BW93" s="300"/>
      <c r="BX93" s="300"/>
      <c r="BY93" s="300"/>
      <c r="BZ93" s="300"/>
      <c r="CA93" s="300"/>
      <c r="CB93" s="300">
        <f>CB10+CB27+CB74+CB80+CB87+CB90</f>
        <v>0</v>
      </c>
      <c r="CC93" s="317"/>
      <c r="CD93" s="318"/>
      <c r="CE93" s="311"/>
    </row>
    <row r="94" spans="1:83" s="121" customFormat="1" ht="26.25" hidden="1" customHeight="1" x14ac:dyDescent="0.2">
      <c r="A94" s="439"/>
      <c r="B94" s="440"/>
      <c r="C94" s="440"/>
      <c r="D94" s="441"/>
      <c r="E94" s="441"/>
      <c r="F94" s="441"/>
      <c r="G94" s="441"/>
      <c r="H94" s="441"/>
      <c r="I94" s="442"/>
      <c r="J94" s="442"/>
      <c r="K94" s="442"/>
      <c r="L94" s="442"/>
      <c r="M94" s="442"/>
      <c r="N94" s="442"/>
      <c r="O94" s="442"/>
      <c r="P94" s="442"/>
      <c r="Q94" s="442"/>
      <c r="R94" s="442"/>
      <c r="S94" s="442"/>
      <c r="T94" s="442"/>
      <c r="U94" s="442"/>
      <c r="V94" s="442"/>
      <c r="W94" s="442"/>
      <c r="X94" s="442"/>
      <c r="Y94" s="442"/>
      <c r="Z94" s="442"/>
      <c r="AA94" s="442"/>
      <c r="AB94" s="442"/>
      <c r="AC94" s="442"/>
      <c r="AD94" s="442"/>
      <c r="AE94" s="442"/>
      <c r="AF94" s="442"/>
      <c r="AG94" s="442"/>
      <c r="AH94" s="442"/>
      <c r="AI94" s="442"/>
      <c r="AJ94" s="442"/>
      <c r="AK94" s="442"/>
      <c r="AL94" s="442"/>
      <c r="AM94" s="442"/>
      <c r="AN94" s="442"/>
      <c r="AO94" s="442"/>
      <c r="AP94" s="442"/>
      <c r="AQ94" s="442"/>
      <c r="AR94" s="442"/>
      <c r="AS94" s="442"/>
      <c r="AT94" s="442"/>
      <c r="AU94" s="442"/>
      <c r="AV94" s="442"/>
      <c r="AW94" s="442"/>
      <c r="AX94" s="442"/>
      <c r="AY94" s="442"/>
      <c r="AZ94" s="442"/>
      <c r="BA94" s="442"/>
      <c r="BB94" s="442"/>
      <c r="BC94" s="442"/>
      <c r="BD94" s="442"/>
      <c r="BE94" s="442"/>
      <c r="BF94" s="442"/>
      <c r="BG94" s="442"/>
      <c r="BH94" s="442"/>
      <c r="BI94" s="442"/>
      <c r="BJ94" s="442"/>
      <c r="BK94" s="442"/>
      <c r="BL94" s="442"/>
      <c r="BM94" s="442"/>
      <c r="BN94" s="442"/>
      <c r="BO94" s="442"/>
      <c r="BP94" s="442"/>
      <c r="BQ94" s="442"/>
      <c r="BR94" s="442"/>
      <c r="BS94" s="442"/>
      <c r="BT94" s="442"/>
      <c r="BU94" s="442"/>
      <c r="BV94" s="442"/>
      <c r="BW94" s="442"/>
      <c r="BX94" s="442"/>
      <c r="BY94" s="442"/>
      <c r="BZ94" s="442"/>
      <c r="CA94" s="442"/>
      <c r="CB94" s="442"/>
      <c r="CC94" s="442"/>
      <c r="CD94" s="443"/>
      <c r="CE94" s="443"/>
    </row>
    <row r="95" spans="1:83" s="121" customFormat="1" ht="27.75" hidden="1" customHeight="1" x14ac:dyDescent="0.2">
      <c r="A95" s="748" t="str">
        <f>'Титульный лист'!A11:N11</f>
        <v>Специфика:</v>
      </c>
      <c r="B95" s="749"/>
      <c r="C95" s="749"/>
      <c r="D95" s="444"/>
      <c r="E95" s="444"/>
      <c r="F95" s="444"/>
      <c r="G95" s="444"/>
      <c r="H95" s="444"/>
      <c r="I95" s="445"/>
      <c r="J95" s="445"/>
      <c r="K95" s="444"/>
      <c r="L95" s="444"/>
      <c r="M95" s="444"/>
      <c r="N95" s="444"/>
      <c r="O95" s="444"/>
      <c r="P95" s="444"/>
      <c r="Q95" s="444"/>
      <c r="R95" s="445"/>
      <c r="S95" s="446"/>
      <c r="T95" s="446"/>
      <c r="U95" s="446"/>
      <c r="V95" s="446"/>
      <c r="W95" s="446"/>
      <c r="X95" s="445"/>
      <c r="Y95" s="446"/>
      <c r="Z95" s="446"/>
      <c r="AA95" s="446"/>
      <c r="AB95" s="446"/>
      <c r="AC95" s="446"/>
      <c r="AD95" s="445"/>
      <c r="AE95" s="446"/>
      <c r="AF95" s="446"/>
      <c r="AG95" s="446"/>
      <c r="AH95" s="446"/>
      <c r="AI95" s="446"/>
      <c r="AJ95" s="445"/>
      <c r="AK95" s="446"/>
      <c r="AL95" s="446"/>
      <c r="AM95" s="446"/>
      <c r="AN95" s="446"/>
      <c r="AO95" s="446"/>
      <c r="AP95" s="445"/>
      <c r="AQ95" s="446"/>
      <c r="AR95" s="446"/>
      <c r="AS95" s="446"/>
      <c r="AT95" s="446"/>
      <c r="AU95" s="446"/>
      <c r="AV95" s="445"/>
      <c r="AW95" s="446"/>
      <c r="AX95" s="446"/>
      <c r="AY95" s="446"/>
      <c r="AZ95" s="446"/>
      <c r="BA95" s="446"/>
      <c r="BB95" s="445"/>
      <c r="BC95" s="446"/>
      <c r="BD95" s="446"/>
      <c r="BE95" s="446"/>
      <c r="BF95" s="446"/>
      <c r="BG95" s="446"/>
      <c r="BH95" s="445"/>
      <c r="BI95" s="446"/>
      <c r="BJ95" s="446"/>
      <c r="BK95" s="446"/>
      <c r="BL95" s="446"/>
      <c r="BM95" s="446"/>
      <c r="BN95" s="445"/>
      <c r="BO95" s="446"/>
      <c r="BP95" s="446"/>
      <c r="BQ95" s="446"/>
      <c r="BR95" s="446"/>
      <c r="BS95" s="446"/>
      <c r="BT95" s="446"/>
      <c r="BU95" s="446"/>
      <c r="BV95" s="445"/>
      <c r="BW95" s="446"/>
      <c r="BX95" s="446"/>
      <c r="BY95" s="446"/>
      <c r="BZ95" s="446"/>
      <c r="CA95" s="446"/>
      <c r="CB95" s="446"/>
      <c r="CC95" s="446"/>
      <c r="CD95" s="443"/>
      <c r="CE95" s="443"/>
    </row>
    <row r="96" spans="1:83" s="121" customFormat="1" ht="27.75" hidden="1" customHeight="1" x14ac:dyDescent="0.2">
      <c r="A96" s="750">
        <f>'Титульный лист'!O11:O11</f>
        <v>0</v>
      </c>
      <c r="B96" s="751"/>
      <c r="C96" s="751"/>
      <c r="D96" s="447"/>
      <c r="E96" s="447"/>
      <c r="F96" s="447"/>
      <c r="G96" s="447"/>
      <c r="H96" s="447"/>
      <c r="I96" s="448"/>
      <c r="J96" s="448"/>
      <c r="K96" s="447"/>
      <c r="L96" s="447"/>
      <c r="M96" s="447"/>
      <c r="N96" s="447"/>
      <c r="O96" s="447"/>
      <c r="P96" s="447"/>
      <c r="Q96" s="447"/>
      <c r="R96" s="449"/>
      <c r="S96" s="450"/>
      <c r="T96" s="450"/>
      <c r="U96" s="450"/>
      <c r="V96" s="450"/>
      <c r="W96" s="450"/>
      <c r="X96" s="449"/>
      <c r="Y96" s="450"/>
      <c r="Z96" s="450"/>
      <c r="AA96" s="450"/>
      <c r="AB96" s="450"/>
      <c r="AC96" s="450"/>
      <c r="AD96" s="449"/>
      <c r="AE96" s="450"/>
      <c r="AF96" s="450"/>
      <c r="AG96" s="450"/>
      <c r="AH96" s="450"/>
      <c r="AI96" s="450"/>
      <c r="AJ96" s="449"/>
      <c r="AK96" s="450"/>
      <c r="AL96" s="450"/>
      <c r="AM96" s="450"/>
      <c r="AN96" s="450"/>
      <c r="AO96" s="450"/>
      <c r="AP96" s="449"/>
      <c r="AQ96" s="450"/>
      <c r="AR96" s="450"/>
      <c r="AS96" s="450"/>
      <c r="AT96" s="450"/>
      <c r="AU96" s="450"/>
      <c r="AV96" s="449"/>
      <c r="AW96" s="450"/>
      <c r="AX96" s="450"/>
      <c r="AY96" s="450"/>
      <c r="AZ96" s="450"/>
      <c r="BA96" s="450"/>
      <c r="BB96" s="449"/>
      <c r="BC96" s="450"/>
      <c r="BD96" s="450"/>
      <c r="BE96" s="450"/>
      <c r="BF96" s="450"/>
      <c r="BG96" s="450"/>
      <c r="BH96" s="449"/>
      <c r="BI96" s="450"/>
      <c r="BJ96" s="450"/>
      <c r="BK96" s="450"/>
      <c r="BL96" s="450"/>
      <c r="BM96" s="450"/>
      <c r="BN96" s="448"/>
      <c r="BO96" s="451"/>
      <c r="BP96" s="451"/>
      <c r="BQ96" s="451"/>
      <c r="BR96" s="451"/>
      <c r="BS96" s="451"/>
      <c r="BT96" s="451"/>
      <c r="BU96" s="451"/>
      <c r="BV96" s="448"/>
      <c r="BW96" s="451"/>
      <c r="BX96" s="451"/>
      <c r="BY96" s="451"/>
      <c r="BZ96" s="451"/>
      <c r="CA96" s="451"/>
      <c r="CB96" s="451"/>
      <c r="CC96" s="451"/>
      <c r="CD96" s="443"/>
      <c r="CE96" s="443"/>
    </row>
    <row r="97" spans="1:83" s="121" customFormat="1" x14ac:dyDescent="0.2">
      <c r="A97" s="452"/>
      <c r="B97" s="736" t="s">
        <v>581</v>
      </c>
      <c r="C97" s="737"/>
      <c r="D97" s="737"/>
      <c r="E97" s="737"/>
      <c r="F97" s="737"/>
      <c r="G97" s="737"/>
      <c r="H97" s="752"/>
      <c r="I97" s="149">
        <f t="shared" ref="I97:Q97" si="173">I10+I27+I74</f>
        <v>6318</v>
      </c>
      <c r="J97" s="149">
        <f t="shared" si="173"/>
        <v>4212</v>
      </c>
      <c r="K97" s="152">
        <f t="shared" si="173"/>
        <v>6318</v>
      </c>
      <c r="L97" s="150">
        <f t="shared" si="173"/>
        <v>4212</v>
      </c>
      <c r="M97" s="150">
        <f t="shared" si="173"/>
        <v>3221</v>
      </c>
      <c r="N97" s="150">
        <f t="shared" si="173"/>
        <v>931</v>
      </c>
      <c r="O97" s="150">
        <f t="shared" si="173"/>
        <v>60</v>
      </c>
      <c r="P97" s="150">
        <f t="shared" si="173"/>
        <v>0</v>
      </c>
      <c r="Q97" s="150">
        <f t="shared" si="173"/>
        <v>2106</v>
      </c>
      <c r="R97" s="455">
        <f>SUM(S97:W97)</f>
        <v>918</v>
      </c>
      <c r="S97" s="453">
        <f t="shared" ref="S97:W97" si="174">S10+S27+S74</f>
        <v>525</v>
      </c>
      <c r="T97" s="453">
        <f t="shared" si="174"/>
        <v>87</v>
      </c>
      <c r="U97" s="453">
        <f t="shared" si="174"/>
        <v>0</v>
      </c>
      <c r="V97" s="453">
        <f t="shared" si="174"/>
        <v>0</v>
      </c>
      <c r="W97" s="453">
        <f t="shared" si="174"/>
        <v>306</v>
      </c>
      <c r="X97" s="456">
        <f>SUM(Y97:AC97)</f>
        <v>1188</v>
      </c>
      <c r="Y97" s="453">
        <f t="shared" ref="Y97:AC97" si="175">Y10+Y27+Y74</f>
        <v>664</v>
      </c>
      <c r="Z97" s="453">
        <f t="shared" si="175"/>
        <v>128</v>
      </c>
      <c r="AA97" s="453">
        <f t="shared" si="175"/>
        <v>0</v>
      </c>
      <c r="AB97" s="453">
        <f t="shared" si="175"/>
        <v>0</v>
      </c>
      <c r="AC97" s="454">
        <f t="shared" si="175"/>
        <v>396</v>
      </c>
      <c r="AD97" s="455">
        <f>SUM(AE97:AI97)</f>
        <v>864</v>
      </c>
      <c r="AE97" s="453">
        <f t="shared" ref="AE97:AI97" si="176">AE10+AE27+AE74</f>
        <v>474</v>
      </c>
      <c r="AF97" s="453">
        <f t="shared" si="176"/>
        <v>102</v>
      </c>
      <c r="AG97" s="453">
        <f t="shared" si="176"/>
        <v>0</v>
      </c>
      <c r="AH97" s="453">
        <f t="shared" si="176"/>
        <v>0</v>
      </c>
      <c r="AI97" s="453">
        <f t="shared" si="176"/>
        <v>288</v>
      </c>
      <c r="AJ97" s="456">
        <f>SUM(AK97:AO97)</f>
        <v>1026</v>
      </c>
      <c r="AK97" s="453">
        <f t="shared" ref="AK97:AO97" si="177">AK10+AK27+AK74</f>
        <v>592</v>
      </c>
      <c r="AL97" s="453">
        <f t="shared" si="177"/>
        <v>92</v>
      </c>
      <c r="AM97" s="453">
        <f t="shared" si="177"/>
        <v>0</v>
      </c>
      <c r="AN97" s="453">
        <f t="shared" si="177"/>
        <v>0</v>
      </c>
      <c r="AO97" s="454">
        <f t="shared" si="177"/>
        <v>342</v>
      </c>
      <c r="AP97" s="455">
        <f>SUM(AQ97:AU97)</f>
        <v>648</v>
      </c>
      <c r="AQ97" s="453">
        <f t="shared" ref="AQ97:AU97" si="178">AQ10+AQ27+AQ74</f>
        <v>358</v>
      </c>
      <c r="AR97" s="453">
        <f t="shared" si="178"/>
        <v>74</v>
      </c>
      <c r="AS97" s="453">
        <f t="shared" si="178"/>
        <v>0</v>
      </c>
      <c r="AT97" s="453">
        <f t="shared" si="178"/>
        <v>0</v>
      </c>
      <c r="AU97" s="453">
        <f t="shared" si="178"/>
        <v>216</v>
      </c>
      <c r="AV97" s="456">
        <f>SUM(AW97:BA97)</f>
        <v>432</v>
      </c>
      <c r="AW97" s="453">
        <f t="shared" ref="AW97:BA97" si="179">AW10+AW27+AW74</f>
        <v>194</v>
      </c>
      <c r="AX97" s="453">
        <f t="shared" si="179"/>
        <v>64</v>
      </c>
      <c r="AY97" s="453">
        <f t="shared" si="179"/>
        <v>30</v>
      </c>
      <c r="AZ97" s="453">
        <f t="shared" si="179"/>
        <v>0</v>
      </c>
      <c r="BA97" s="454">
        <f t="shared" si="179"/>
        <v>144</v>
      </c>
      <c r="BB97" s="455">
        <f>SUM(BC97:BG97)</f>
        <v>216</v>
      </c>
      <c r="BC97" s="453">
        <f t="shared" ref="BC97:BG97" si="180">BC10+BC27+BC74</f>
        <v>88</v>
      </c>
      <c r="BD97" s="453">
        <f t="shared" si="180"/>
        <v>56</v>
      </c>
      <c r="BE97" s="453">
        <f t="shared" si="180"/>
        <v>0</v>
      </c>
      <c r="BF97" s="453">
        <f t="shared" si="180"/>
        <v>0</v>
      </c>
      <c r="BG97" s="453">
        <f t="shared" si="180"/>
        <v>72</v>
      </c>
      <c r="BH97" s="455">
        <f>SUM(BI97:BM97)</f>
        <v>1026</v>
      </c>
      <c r="BI97" s="453">
        <f t="shared" ref="BI97:BM97" si="181">BI10+BI27+BI74</f>
        <v>326</v>
      </c>
      <c r="BJ97" s="453">
        <f t="shared" si="181"/>
        <v>328</v>
      </c>
      <c r="BK97" s="453">
        <f t="shared" si="181"/>
        <v>30</v>
      </c>
      <c r="BL97" s="453">
        <f t="shared" si="181"/>
        <v>0</v>
      </c>
      <c r="BM97" s="453">
        <f t="shared" si="181"/>
        <v>342</v>
      </c>
      <c r="BN97" s="456">
        <f>SUM(BO97:BU97)</f>
        <v>0</v>
      </c>
      <c r="BO97" s="453">
        <f t="shared" ref="BO97:BU97" si="182">BO10+BO27+BO74</f>
        <v>0</v>
      </c>
      <c r="BP97" s="453">
        <f t="shared" si="182"/>
        <v>0</v>
      </c>
      <c r="BQ97" s="453">
        <f t="shared" si="182"/>
        <v>0</v>
      </c>
      <c r="BR97" s="453">
        <f t="shared" si="182"/>
        <v>0</v>
      </c>
      <c r="BS97" s="453">
        <f t="shared" si="182"/>
        <v>0</v>
      </c>
      <c r="BT97" s="453">
        <f t="shared" si="182"/>
        <v>0</v>
      </c>
      <c r="BU97" s="453">
        <f t="shared" si="182"/>
        <v>0</v>
      </c>
      <c r="BV97" s="457">
        <f>SUM(BW97:CC97)</f>
        <v>0</v>
      </c>
      <c r="BW97" s="453">
        <f t="shared" ref="BW97:CC97" si="183">BW10+BW27+BW74</f>
        <v>0</v>
      </c>
      <c r="BX97" s="453">
        <f t="shared" si="183"/>
        <v>0</v>
      </c>
      <c r="BY97" s="453">
        <f t="shared" si="183"/>
        <v>0</v>
      </c>
      <c r="BZ97" s="453">
        <f t="shared" si="183"/>
        <v>0</v>
      </c>
      <c r="CA97" s="453">
        <f t="shared" si="183"/>
        <v>0</v>
      </c>
      <c r="CB97" s="453">
        <f t="shared" si="183"/>
        <v>0</v>
      </c>
      <c r="CC97" s="458">
        <f t="shared" si="183"/>
        <v>0</v>
      </c>
      <c r="CD97" s="443"/>
      <c r="CE97" s="443"/>
    </row>
    <row r="98" spans="1:83" s="121" customFormat="1" x14ac:dyDescent="0.2">
      <c r="A98" s="452"/>
      <c r="B98" s="736" t="s">
        <v>234</v>
      </c>
      <c r="C98" s="737"/>
      <c r="D98" s="737"/>
      <c r="E98" s="737"/>
      <c r="F98" s="737"/>
      <c r="G98" s="737"/>
      <c r="H98" s="752"/>
      <c r="I98" s="149">
        <f>I80+I87</f>
        <v>0</v>
      </c>
      <c r="J98" s="149">
        <v>1512</v>
      </c>
      <c r="K98" s="152">
        <f t="shared" ref="K98:Q98" si="184">K80+K87</f>
        <v>1512</v>
      </c>
      <c r="L98" s="150">
        <f t="shared" si="184"/>
        <v>1512</v>
      </c>
      <c r="M98" s="150">
        <f t="shared" si="184"/>
        <v>0</v>
      </c>
      <c r="N98" s="150">
        <f t="shared" si="184"/>
        <v>0</v>
      </c>
      <c r="O98" s="150">
        <f t="shared" si="184"/>
        <v>0</v>
      </c>
      <c r="P98" s="150">
        <f t="shared" si="184"/>
        <v>1512</v>
      </c>
      <c r="Q98" s="152">
        <f t="shared" si="184"/>
        <v>0</v>
      </c>
      <c r="R98" s="455">
        <f>SUM(S98:W98)</f>
        <v>0</v>
      </c>
      <c r="S98" s="453">
        <f t="shared" ref="S98:W98" si="185">S80+S87</f>
        <v>0</v>
      </c>
      <c r="T98" s="453">
        <f t="shared" si="185"/>
        <v>0</v>
      </c>
      <c r="U98" s="453">
        <f t="shared" si="185"/>
        <v>0</v>
      </c>
      <c r="V98" s="453">
        <f t="shared" si="185"/>
        <v>0</v>
      </c>
      <c r="W98" s="463">
        <f t="shared" si="185"/>
        <v>0</v>
      </c>
      <c r="X98" s="456">
        <f>SUM(Y98:AC98)</f>
        <v>0</v>
      </c>
      <c r="Y98" s="453">
        <f t="shared" ref="Y98:AC98" si="186">Y80+Y87</f>
        <v>0</v>
      </c>
      <c r="Z98" s="453">
        <f t="shared" si="186"/>
        <v>0</v>
      </c>
      <c r="AA98" s="453">
        <f t="shared" si="186"/>
        <v>0</v>
      </c>
      <c r="AB98" s="453">
        <f t="shared" si="186"/>
        <v>0</v>
      </c>
      <c r="AC98" s="459">
        <f t="shared" si="186"/>
        <v>0</v>
      </c>
      <c r="AD98" s="455">
        <f>SUM(AE98:AI98)</f>
        <v>0</v>
      </c>
      <c r="AE98" s="453">
        <f t="shared" ref="AE98:AI98" si="187">AE80+AE87</f>
        <v>0</v>
      </c>
      <c r="AF98" s="453">
        <f t="shared" si="187"/>
        <v>0</v>
      </c>
      <c r="AG98" s="453">
        <f t="shared" si="187"/>
        <v>0</v>
      </c>
      <c r="AH98" s="453">
        <f t="shared" si="187"/>
        <v>0</v>
      </c>
      <c r="AI98" s="463">
        <f t="shared" si="187"/>
        <v>0</v>
      </c>
      <c r="AJ98" s="456">
        <f>SUM(AK98:AO98)</f>
        <v>252</v>
      </c>
      <c r="AK98" s="453">
        <f t="shared" ref="AK98:AO98" si="188">AK80+AK87</f>
        <v>0</v>
      </c>
      <c r="AL98" s="453">
        <f t="shared" si="188"/>
        <v>0</v>
      </c>
      <c r="AM98" s="453">
        <f t="shared" si="188"/>
        <v>0</v>
      </c>
      <c r="AN98" s="453">
        <f t="shared" si="188"/>
        <v>252</v>
      </c>
      <c r="AO98" s="459">
        <f t="shared" si="188"/>
        <v>0</v>
      </c>
      <c r="AP98" s="455">
        <f>SUM(AQ98:AU98)</f>
        <v>144</v>
      </c>
      <c r="AQ98" s="453">
        <f t="shared" ref="AQ98:AU98" si="189">AQ80+AQ87</f>
        <v>0</v>
      </c>
      <c r="AR98" s="453">
        <f t="shared" si="189"/>
        <v>0</v>
      </c>
      <c r="AS98" s="453">
        <f t="shared" si="189"/>
        <v>0</v>
      </c>
      <c r="AT98" s="453">
        <f t="shared" si="189"/>
        <v>144</v>
      </c>
      <c r="AU98" s="463">
        <f t="shared" si="189"/>
        <v>0</v>
      </c>
      <c r="AV98" s="456">
        <f>SUM(AW98:BA98)</f>
        <v>648</v>
      </c>
      <c r="AW98" s="453">
        <f t="shared" ref="AW98:BA98" si="190">AW80+AW87</f>
        <v>0</v>
      </c>
      <c r="AX98" s="453">
        <f t="shared" si="190"/>
        <v>0</v>
      </c>
      <c r="AY98" s="453">
        <f t="shared" si="190"/>
        <v>0</v>
      </c>
      <c r="AZ98" s="453">
        <f t="shared" si="190"/>
        <v>648</v>
      </c>
      <c r="BA98" s="459">
        <f t="shared" si="190"/>
        <v>0</v>
      </c>
      <c r="BB98" s="455">
        <f>SUM(BC98:BG98)</f>
        <v>468</v>
      </c>
      <c r="BC98" s="453">
        <f t="shared" ref="BC98:BG98" si="191">BC80+BC87</f>
        <v>0</v>
      </c>
      <c r="BD98" s="453">
        <f t="shared" si="191"/>
        <v>0</v>
      </c>
      <c r="BE98" s="453">
        <f t="shared" si="191"/>
        <v>0</v>
      </c>
      <c r="BF98" s="453">
        <f t="shared" si="191"/>
        <v>468</v>
      </c>
      <c r="BG98" s="463">
        <f t="shared" si="191"/>
        <v>0</v>
      </c>
      <c r="BH98" s="455">
        <f>SUM(BI98:BM98)</f>
        <v>0</v>
      </c>
      <c r="BI98" s="453">
        <f t="shared" ref="BI98:BM98" si="192">BI80+BI87</f>
        <v>0</v>
      </c>
      <c r="BJ98" s="453">
        <f t="shared" si="192"/>
        <v>0</v>
      </c>
      <c r="BK98" s="453">
        <f t="shared" si="192"/>
        <v>0</v>
      </c>
      <c r="BL98" s="453">
        <f t="shared" si="192"/>
        <v>0</v>
      </c>
      <c r="BM98" s="463">
        <f t="shared" si="192"/>
        <v>0</v>
      </c>
      <c r="BN98" s="456">
        <f>SUM(BO98:BU98)</f>
        <v>0</v>
      </c>
      <c r="BO98" s="453">
        <f t="shared" ref="BO98:BU98" si="193">BO80+BO87</f>
        <v>0</v>
      </c>
      <c r="BP98" s="453">
        <f t="shared" si="193"/>
        <v>0</v>
      </c>
      <c r="BQ98" s="453">
        <f t="shared" si="193"/>
        <v>0</v>
      </c>
      <c r="BR98" s="453">
        <f t="shared" si="193"/>
        <v>0</v>
      </c>
      <c r="BS98" s="453">
        <f t="shared" si="193"/>
        <v>0</v>
      </c>
      <c r="BT98" s="453">
        <f t="shared" si="193"/>
        <v>0</v>
      </c>
      <c r="BU98" s="459">
        <f t="shared" si="193"/>
        <v>0</v>
      </c>
      <c r="BV98" s="457">
        <f>SUM(BW98:CC98)</f>
        <v>0</v>
      </c>
      <c r="BW98" s="453">
        <f t="shared" ref="BW98:CC98" si="194">BW80+BW87</f>
        <v>0</v>
      </c>
      <c r="BX98" s="453">
        <f t="shared" si="194"/>
        <v>0</v>
      </c>
      <c r="BY98" s="453">
        <f t="shared" si="194"/>
        <v>0</v>
      </c>
      <c r="BZ98" s="453">
        <f t="shared" si="194"/>
        <v>0</v>
      </c>
      <c r="CA98" s="453">
        <f t="shared" si="194"/>
        <v>0</v>
      </c>
      <c r="CB98" s="453">
        <f t="shared" si="194"/>
        <v>0</v>
      </c>
      <c r="CC98" s="460">
        <f t="shared" si="194"/>
        <v>0</v>
      </c>
      <c r="CD98" s="443"/>
      <c r="CE98" s="443"/>
    </row>
    <row r="99" spans="1:83" s="121" customFormat="1" x14ac:dyDescent="0.2">
      <c r="A99" s="452"/>
      <c r="B99" s="736" t="s">
        <v>580</v>
      </c>
      <c r="C99" s="737"/>
      <c r="D99" s="737"/>
      <c r="E99" s="737"/>
      <c r="F99" s="737"/>
      <c r="G99" s="737"/>
      <c r="H99" s="752"/>
      <c r="I99" s="149">
        <f>I90</f>
        <v>0</v>
      </c>
      <c r="J99" s="149" t="str">
        <f>J90</f>
        <v>-</v>
      </c>
      <c r="K99" s="152">
        <f>K90</f>
        <v>216</v>
      </c>
      <c r="L99" s="150">
        <f t="shared" ref="L99:P99" si="195">L90</f>
        <v>0</v>
      </c>
      <c r="M99" s="150">
        <f t="shared" si="195"/>
        <v>0</v>
      </c>
      <c r="N99" s="150">
        <f t="shared" si="195"/>
        <v>0</v>
      </c>
      <c r="O99" s="150">
        <f t="shared" si="195"/>
        <v>0</v>
      </c>
      <c r="P99" s="150">
        <f t="shared" si="195"/>
        <v>0</v>
      </c>
      <c r="Q99" s="152">
        <f>Q90</f>
        <v>216</v>
      </c>
      <c r="R99" s="455">
        <f>SUM(S99:W99)</f>
        <v>0</v>
      </c>
      <c r="S99" s="453">
        <f t="shared" ref="S99:BN99" si="196">S90</f>
        <v>0</v>
      </c>
      <c r="T99" s="453">
        <f t="shared" si="196"/>
        <v>0</v>
      </c>
      <c r="U99" s="453">
        <f t="shared" si="196"/>
        <v>0</v>
      </c>
      <c r="V99" s="453">
        <f t="shared" si="196"/>
        <v>0</v>
      </c>
      <c r="W99" s="463">
        <f t="shared" si="196"/>
        <v>0</v>
      </c>
      <c r="X99" s="456">
        <f t="shared" si="196"/>
        <v>0</v>
      </c>
      <c r="Y99" s="453">
        <f t="shared" si="196"/>
        <v>0</v>
      </c>
      <c r="Z99" s="453">
        <f t="shared" si="196"/>
        <v>0</v>
      </c>
      <c r="AA99" s="453">
        <f t="shared" si="196"/>
        <v>0</v>
      </c>
      <c r="AB99" s="453">
        <f t="shared" si="196"/>
        <v>0</v>
      </c>
      <c r="AC99" s="459">
        <f t="shared" si="196"/>
        <v>0</v>
      </c>
      <c r="AD99" s="455">
        <f t="shared" si="196"/>
        <v>0</v>
      </c>
      <c r="AE99" s="453">
        <f t="shared" si="196"/>
        <v>0</v>
      </c>
      <c r="AF99" s="453">
        <f t="shared" si="196"/>
        <v>0</v>
      </c>
      <c r="AG99" s="453">
        <f t="shared" si="196"/>
        <v>0</v>
      </c>
      <c r="AH99" s="453">
        <f t="shared" si="196"/>
        <v>0</v>
      </c>
      <c r="AI99" s="463">
        <f t="shared" si="196"/>
        <v>0</v>
      </c>
      <c r="AJ99" s="456">
        <f t="shared" si="196"/>
        <v>0</v>
      </c>
      <c r="AK99" s="453">
        <f t="shared" si="196"/>
        <v>0</v>
      </c>
      <c r="AL99" s="453">
        <f t="shared" si="196"/>
        <v>0</v>
      </c>
      <c r="AM99" s="453">
        <f t="shared" si="196"/>
        <v>0</v>
      </c>
      <c r="AN99" s="453">
        <f t="shared" si="196"/>
        <v>0</v>
      </c>
      <c r="AO99" s="459">
        <f t="shared" si="196"/>
        <v>0</v>
      </c>
      <c r="AP99" s="455">
        <f t="shared" si="196"/>
        <v>0</v>
      </c>
      <c r="AQ99" s="453">
        <f t="shared" si="196"/>
        <v>0</v>
      </c>
      <c r="AR99" s="453">
        <f t="shared" si="196"/>
        <v>0</v>
      </c>
      <c r="AS99" s="453">
        <f t="shared" si="196"/>
        <v>0</v>
      </c>
      <c r="AT99" s="453">
        <f t="shared" si="196"/>
        <v>0</v>
      </c>
      <c r="AU99" s="463">
        <f t="shared" si="196"/>
        <v>0</v>
      </c>
      <c r="AV99" s="456">
        <f t="shared" si="196"/>
        <v>0</v>
      </c>
      <c r="AW99" s="453">
        <f t="shared" si="196"/>
        <v>0</v>
      </c>
      <c r="AX99" s="453">
        <f t="shared" si="196"/>
        <v>0</v>
      </c>
      <c r="AY99" s="453">
        <f t="shared" si="196"/>
        <v>0</v>
      </c>
      <c r="AZ99" s="453">
        <f t="shared" si="196"/>
        <v>0</v>
      </c>
      <c r="BA99" s="459">
        <f t="shared" si="196"/>
        <v>0</v>
      </c>
      <c r="BB99" s="455">
        <f t="shared" si="196"/>
        <v>0</v>
      </c>
      <c r="BC99" s="453">
        <f t="shared" si="196"/>
        <v>0</v>
      </c>
      <c r="BD99" s="453">
        <f t="shared" si="196"/>
        <v>0</v>
      </c>
      <c r="BE99" s="453">
        <f t="shared" si="196"/>
        <v>0</v>
      </c>
      <c r="BF99" s="453">
        <f t="shared" si="196"/>
        <v>0</v>
      </c>
      <c r="BG99" s="463">
        <f t="shared" si="196"/>
        <v>0</v>
      </c>
      <c r="BH99" s="455">
        <f t="shared" si="196"/>
        <v>216</v>
      </c>
      <c r="BI99" s="453">
        <f t="shared" si="196"/>
        <v>0</v>
      </c>
      <c r="BJ99" s="453">
        <f t="shared" si="196"/>
        <v>0</v>
      </c>
      <c r="BK99" s="453">
        <f t="shared" si="196"/>
        <v>0</v>
      </c>
      <c r="BL99" s="453">
        <f t="shared" si="196"/>
        <v>0</v>
      </c>
      <c r="BM99" s="463">
        <f t="shared" si="196"/>
        <v>216</v>
      </c>
      <c r="BN99" s="456">
        <f t="shared" si="196"/>
        <v>0</v>
      </c>
      <c r="BO99" s="453">
        <f t="shared" ref="BO99:CC99" si="197">BO90</f>
        <v>0</v>
      </c>
      <c r="BP99" s="453">
        <f t="shared" si="197"/>
        <v>0</v>
      </c>
      <c r="BQ99" s="453">
        <f t="shared" si="197"/>
        <v>0</v>
      </c>
      <c r="BR99" s="453">
        <f t="shared" si="197"/>
        <v>0</v>
      </c>
      <c r="BS99" s="453">
        <f t="shared" si="197"/>
        <v>0</v>
      </c>
      <c r="BT99" s="453">
        <f t="shared" si="197"/>
        <v>0</v>
      </c>
      <c r="BU99" s="459">
        <f t="shared" si="197"/>
        <v>0</v>
      </c>
      <c r="BV99" s="457">
        <f t="shared" si="197"/>
        <v>0</v>
      </c>
      <c r="BW99" s="453">
        <f t="shared" si="197"/>
        <v>0</v>
      </c>
      <c r="BX99" s="453">
        <f t="shared" si="197"/>
        <v>0</v>
      </c>
      <c r="BY99" s="453">
        <f t="shared" si="197"/>
        <v>0</v>
      </c>
      <c r="BZ99" s="453">
        <f t="shared" si="197"/>
        <v>0</v>
      </c>
      <c r="CA99" s="453">
        <f t="shared" si="197"/>
        <v>0</v>
      </c>
      <c r="CB99" s="453">
        <f t="shared" si="197"/>
        <v>0</v>
      </c>
      <c r="CC99" s="460">
        <f t="shared" si="197"/>
        <v>0</v>
      </c>
      <c r="CD99" s="443"/>
      <c r="CE99" s="443"/>
    </row>
    <row r="100" spans="1:83" s="121" customFormat="1" ht="12.75" hidden="1" customHeight="1" x14ac:dyDescent="0.2">
      <c r="A100" s="461"/>
      <c r="B100" s="738" t="s">
        <v>279</v>
      </c>
      <c r="C100" s="739"/>
      <c r="D100" s="739"/>
      <c r="E100" s="739"/>
      <c r="F100" s="739"/>
      <c r="G100" s="739"/>
      <c r="H100" s="746"/>
      <c r="I100" s="462">
        <f>I93</f>
        <v>0</v>
      </c>
      <c r="J100" s="462" t="str">
        <f>J93</f>
        <v>-</v>
      </c>
      <c r="K100" s="453">
        <f>K93</f>
        <v>0</v>
      </c>
      <c r="L100" s="463">
        <f t="shared" ref="L100:P100" si="198">L93</f>
        <v>0</v>
      </c>
      <c r="M100" s="463">
        <f t="shared" si="198"/>
        <v>0</v>
      </c>
      <c r="N100" s="463">
        <f t="shared" si="198"/>
        <v>0</v>
      </c>
      <c r="O100" s="463">
        <f t="shared" si="198"/>
        <v>0</v>
      </c>
      <c r="P100" s="463">
        <f t="shared" si="198"/>
        <v>0</v>
      </c>
      <c r="Q100" s="463">
        <f>Q93</f>
        <v>0</v>
      </c>
      <c r="R100" s="464">
        <f t="shared" ref="R100:BM100" si="199">R93</f>
        <v>0</v>
      </c>
      <c r="S100" s="453">
        <f t="shared" si="199"/>
        <v>0</v>
      </c>
      <c r="T100" s="453">
        <f t="shared" si="199"/>
        <v>0</v>
      </c>
      <c r="U100" s="453">
        <f t="shared" si="199"/>
        <v>0</v>
      </c>
      <c r="V100" s="453">
        <f t="shared" si="199"/>
        <v>0</v>
      </c>
      <c r="W100" s="463">
        <f t="shared" si="199"/>
        <v>0</v>
      </c>
      <c r="X100" s="465">
        <f t="shared" si="199"/>
        <v>0</v>
      </c>
      <c r="Y100" s="453">
        <f t="shared" si="199"/>
        <v>0</v>
      </c>
      <c r="Z100" s="453">
        <f t="shared" si="199"/>
        <v>0</v>
      </c>
      <c r="AA100" s="453">
        <f t="shared" si="199"/>
        <v>0</v>
      </c>
      <c r="AB100" s="453">
        <f t="shared" si="199"/>
        <v>0</v>
      </c>
      <c r="AC100" s="459">
        <f t="shared" si="199"/>
        <v>0</v>
      </c>
      <c r="AD100" s="464">
        <f t="shared" si="199"/>
        <v>0</v>
      </c>
      <c r="AE100" s="453">
        <f t="shared" si="199"/>
        <v>0</v>
      </c>
      <c r="AF100" s="453">
        <f t="shared" si="199"/>
        <v>0</v>
      </c>
      <c r="AG100" s="453">
        <f t="shared" si="199"/>
        <v>0</v>
      </c>
      <c r="AH100" s="453">
        <f t="shared" si="199"/>
        <v>0</v>
      </c>
      <c r="AI100" s="463">
        <f t="shared" si="199"/>
        <v>0</v>
      </c>
      <c r="AJ100" s="465">
        <f t="shared" si="199"/>
        <v>0</v>
      </c>
      <c r="AK100" s="453">
        <f t="shared" si="199"/>
        <v>0</v>
      </c>
      <c r="AL100" s="453">
        <f t="shared" si="199"/>
        <v>0</v>
      </c>
      <c r="AM100" s="453">
        <f t="shared" si="199"/>
        <v>0</v>
      </c>
      <c r="AN100" s="453">
        <f t="shared" si="199"/>
        <v>0</v>
      </c>
      <c r="AO100" s="459">
        <f t="shared" si="199"/>
        <v>0</v>
      </c>
      <c r="AP100" s="464">
        <f t="shared" si="199"/>
        <v>0</v>
      </c>
      <c r="AQ100" s="453">
        <f t="shared" si="199"/>
        <v>0</v>
      </c>
      <c r="AR100" s="453">
        <f t="shared" si="199"/>
        <v>0</v>
      </c>
      <c r="AS100" s="453">
        <f t="shared" si="199"/>
        <v>0</v>
      </c>
      <c r="AT100" s="453">
        <f t="shared" si="199"/>
        <v>0</v>
      </c>
      <c r="AU100" s="463">
        <f t="shared" si="199"/>
        <v>0</v>
      </c>
      <c r="AV100" s="465">
        <f t="shared" si="199"/>
        <v>0</v>
      </c>
      <c r="AW100" s="453">
        <f t="shared" si="199"/>
        <v>0</v>
      </c>
      <c r="AX100" s="453">
        <f t="shared" si="199"/>
        <v>0</v>
      </c>
      <c r="AY100" s="453">
        <f t="shared" si="199"/>
        <v>0</v>
      </c>
      <c r="AZ100" s="453">
        <f t="shared" si="199"/>
        <v>0</v>
      </c>
      <c r="BA100" s="459">
        <f t="shared" si="199"/>
        <v>0</v>
      </c>
      <c r="BB100" s="464">
        <f t="shared" si="199"/>
        <v>0</v>
      </c>
      <c r="BC100" s="453">
        <f t="shared" si="199"/>
        <v>0</v>
      </c>
      <c r="BD100" s="453">
        <f t="shared" si="199"/>
        <v>0</v>
      </c>
      <c r="BE100" s="453">
        <f t="shared" si="199"/>
        <v>0</v>
      </c>
      <c r="BF100" s="453">
        <f t="shared" si="199"/>
        <v>0</v>
      </c>
      <c r="BG100" s="463">
        <f t="shared" si="199"/>
        <v>0</v>
      </c>
      <c r="BH100" s="464">
        <f t="shared" si="199"/>
        <v>0</v>
      </c>
      <c r="BI100" s="453">
        <f t="shared" si="199"/>
        <v>0</v>
      </c>
      <c r="BJ100" s="453">
        <f t="shared" si="199"/>
        <v>0</v>
      </c>
      <c r="BK100" s="453">
        <f t="shared" si="199"/>
        <v>0</v>
      </c>
      <c r="BL100" s="453">
        <f t="shared" si="199"/>
        <v>0</v>
      </c>
      <c r="BM100" s="463">
        <f t="shared" si="199"/>
        <v>0</v>
      </c>
      <c r="BN100" s="465">
        <f t="shared" ref="BN100:CC100" si="200">BN93</f>
        <v>0</v>
      </c>
      <c r="BO100" s="453">
        <f t="shared" si="200"/>
        <v>0</v>
      </c>
      <c r="BP100" s="453">
        <f t="shared" si="200"/>
        <v>0</v>
      </c>
      <c r="BQ100" s="453">
        <f t="shared" si="200"/>
        <v>0</v>
      </c>
      <c r="BR100" s="453">
        <f t="shared" si="200"/>
        <v>0</v>
      </c>
      <c r="BS100" s="453">
        <f t="shared" si="200"/>
        <v>0</v>
      </c>
      <c r="BT100" s="453">
        <f t="shared" si="200"/>
        <v>0</v>
      </c>
      <c r="BU100" s="459">
        <f t="shared" si="200"/>
        <v>0</v>
      </c>
      <c r="BV100" s="466">
        <f t="shared" si="200"/>
        <v>0</v>
      </c>
      <c r="BW100" s="453">
        <f t="shared" si="200"/>
        <v>0</v>
      </c>
      <c r="BX100" s="453">
        <f t="shared" si="200"/>
        <v>0</v>
      </c>
      <c r="BY100" s="453">
        <f t="shared" si="200"/>
        <v>0</v>
      </c>
      <c r="BZ100" s="453">
        <f t="shared" si="200"/>
        <v>0</v>
      </c>
      <c r="CA100" s="453">
        <f t="shared" si="200"/>
        <v>0</v>
      </c>
      <c r="CB100" s="453">
        <f t="shared" si="200"/>
        <v>0</v>
      </c>
      <c r="CC100" s="459">
        <f t="shared" si="200"/>
        <v>0</v>
      </c>
      <c r="CD100" s="443"/>
      <c r="CE100" s="443"/>
    </row>
    <row r="101" spans="1:83" s="121" customFormat="1" x14ac:dyDescent="0.2">
      <c r="A101" s="467"/>
      <c r="B101" s="736" t="s">
        <v>216</v>
      </c>
      <c r="C101" s="737"/>
      <c r="D101" s="737"/>
      <c r="E101" s="737"/>
      <c r="F101" s="737"/>
      <c r="G101" s="737"/>
      <c r="H101" s="737"/>
      <c r="I101" s="151">
        <f>SUM(I97:I99)</f>
        <v>6318</v>
      </c>
      <c r="J101" s="151">
        <f>SUM(J97:J99)</f>
        <v>5724</v>
      </c>
      <c r="K101" s="152">
        <f>SUM(K97:K99)</f>
        <v>8046</v>
      </c>
      <c r="L101" s="152">
        <f t="shared" ref="L101:P101" si="201">SUM(L97:L99)</f>
        <v>5724</v>
      </c>
      <c r="M101" s="152">
        <f t="shared" si="201"/>
        <v>3221</v>
      </c>
      <c r="N101" s="152">
        <f t="shared" si="201"/>
        <v>931</v>
      </c>
      <c r="O101" s="152">
        <f t="shared" si="201"/>
        <v>60</v>
      </c>
      <c r="P101" s="152">
        <f t="shared" si="201"/>
        <v>1512</v>
      </c>
      <c r="Q101" s="152">
        <f>SUM(Q97:Q99)</f>
        <v>2322</v>
      </c>
      <c r="R101" s="455">
        <f t="shared" ref="R101:BM101" si="202">SUM(R97:R99)</f>
        <v>918</v>
      </c>
      <c r="S101" s="453">
        <f t="shared" si="202"/>
        <v>525</v>
      </c>
      <c r="T101" s="453">
        <f t="shared" si="202"/>
        <v>87</v>
      </c>
      <c r="U101" s="453">
        <f t="shared" si="202"/>
        <v>0</v>
      </c>
      <c r="V101" s="453">
        <f t="shared" si="202"/>
        <v>0</v>
      </c>
      <c r="W101" s="453">
        <f t="shared" si="202"/>
        <v>306</v>
      </c>
      <c r="X101" s="614">
        <f t="shared" si="202"/>
        <v>1188</v>
      </c>
      <c r="Y101" s="469">
        <f t="shared" si="202"/>
        <v>664</v>
      </c>
      <c r="Z101" s="469">
        <f t="shared" si="202"/>
        <v>128</v>
      </c>
      <c r="AA101" s="469">
        <f t="shared" si="202"/>
        <v>0</v>
      </c>
      <c r="AB101" s="469">
        <f t="shared" si="202"/>
        <v>0</v>
      </c>
      <c r="AC101" s="470">
        <f t="shared" si="202"/>
        <v>396</v>
      </c>
      <c r="AD101" s="468">
        <f t="shared" si="202"/>
        <v>864</v>
      </c>
      <c r="AE101" s="469">
        <f t="shared" si="202"/>
        <v>474</v>
      </c>
      <c r="AF101" s="469">
        <f t="shared" si="202"/>
        <v>102</v>
      </c>
      <c r="AG101" s="469">
        <f t="shared" si="202"/>
        <v>0</v>
      </c>
      <c r="AH101" s="469">
        <f t="shared" si="202"/>
        <v>0</v>
      </c>
      <c r="AI101" s="469">
        <f t="shared" si="202"/>
        <v>288</v>
      </c>
      <c r="AJ101" s="456">
        <f t="shared" si="202"/>
        <v>1278</v>
      </c>
      <c r="AK101" s="453">
        <f t="shared" si="202"/>
        <v>592</v>
      </c>
      <c r="AL101" s="453">
        <f t="shared" si="202"/>
        <v>92</v>
      </c>
      <c r="AM101" s="453">
        <f t="shared" si="202"/>
        <v>0</v>
      </c>
      <c r="AN101" s="453">
        <f t="shared" si="202"/>
        <v>252</v>
      </c>
      <c r="AO101" s="454">
        <f t="shared" si="202"/>
        <v>342</v>
      </c>
      <c r="AP101" s="455">
        <f t="shared" si="202"/>
        <v>792</v>
      </c>
      <c r="AQ101" s="453">
        <f t="shared" si="202"/>
        <v>358</v>
      </c>
      <c r="AR101" s="453">
        <f t="shared" si="202"/>
        <v>74</v>
      </c>
      <c r="AS101" s="453">
        <f t="shared" si="202"/>
        <v>0</v>
      </c>
      <c r="AT101" s="453">
        <f t="shared" si="202"/>
        <v>144</v>
      </c>
      <c r="AU101" s="453">
        <f t="shared" si="202"/>
        <v>216</v>
      </c>
      <c r="AV101" s="614">
        <f t="shared" si="202"/>
        <v>1080</v>
      </c>
      <c r="AW101" s="469">
        <f t="shared" si="202"/>
        <v>194</v>
      </c>
      <c r="AX101" s="469">
        <f t="shared" si="202"/>
        <v>64</v>
      </c>
      <c r="AY101" s="469">
        <f t="shared" si="202"/>
        <v>30</v>
      </c>
      <c r="AZ101" s="469">
        <f t="shared" si="202"/>
        <v>648</v>
      </c>
      <c r="BA101" s="470">
        <f t="shared" si="202"/>
        <v>144</v>
      </c>
      <c r="BB101" s="455">
        <f t="shared" si="202"/>
        <v>684</v>
      </c>
      <c r="BC101" s="453">
        <f t="shared" si="202"/>
        <v>88</v>
      </c>
      <c r="BD101" s="453">
        <f t="shared" si="202"/>
        <v>56</v>
      </c>
      <c r="BE101" s="453">
        <f t="shared" si="202"/>
        <v>0</v>
      </c>
      <c r="BF101" s="453">
        <f t="shared" si="202"/>
        <v>468</v>
      </c>
      <c r="BG101" s="453">
        <f t="shared" si="202"/>
        <v>72</v>
      </c>
      <c r="BH101" s="468">
        <f t="shared" si="202"/>
        <v>1242</v>
      </c>
      <c r="BI101" s="469">
        <f t="shared" si="202"/>
        <v>326</v>
      </c>
      <c r="BJ101" s="469">
        <f t="shared" si="202"/>
        <v>328</v>
      </c>
      <c r="BK101" s="469">
        <f t="shared" si="202"/>
        <v>30</v>
      </c>
      <c r="BL101" s="469">
        <f t="shared" si="202"/>
        <v>0</v>
      </c>
      <c r="BM101" s="469">
        <f t="shared" si="202"/>
        <v>558</v>
      </c>
      <c r="BN101" s="456">
        <f t="shared" ref="BN101:CC101" si="203">SUM(BN97:BN99)</f>
        <v>0</v>
      </c>
      <c r="BO101" s="453">
        <f t="shared" si="203"/>
        <v>0</v>
      </c>
      <c r="BP101" s="453">
        <f t="shared" si="203"/>
        <v>0</v>
      </c>
      <c r="BQ101" s="453">
        <f t="shared" si="203"/>
        <v>0</v>
      </c>
      <c r="BR101" s="453">
        <f t="shared" si="203"/>
        <v>0</v>
      </c>
      <c r="BS101" s="453">
        <f t="shared" si="203"/>
        <v>0</v>
      </c>
      <c r="BT101" s="453">
        <f t="shared" si="203"/>
        <v>0</v>
      </c>
      <c r="BU101" s="454">
        <f t="shared" si="203"/>
        <v>0</v>
      </c>
      <c r="BV101" s="457">
        <f t="shared" si="203"/>
        <v>0</v>
      </c>
      <c r="BW101" s="453">
        <f t="shared" si="203"/>
        <v>0</v>
      </c>
      <c r="BX101" s="453">
        <f t="shared" si="203"/>
        <v>0</v>
      </c>
      <c r="BY101" s="453">
        <f t="shared" si="203"/>
        <v>0</v>
      </c>
      <c r="BZ101" s="453">
        <f t="shared" si="203"/>
        <v>0</v>
      </c>
      <c r="CA101" s="453">
        <f t="shared" si="203"/>
        <v>0</v>
      </c>
      <c r="CB101" s="453">
        <f t="shared" si="203"/>
        <v>0</v>
      </c>
      <c r="CC101" s="454">
        <f t="shared" si="203"/>
        <v>0</v>
      </c>
      <c r="CD101" s="443"/>
      <c r="CE101" s="443"/>
    </row>
    <row r="102" spans="1:83" s="121" customFormat="1" x14ac:dyDescent="0.2">
      <c r="A102" s="467"/>
      <c r="B102" s="738" t="s">
        <v>235</v>
      </c>
      <c r="C102" s="739"/>
      <c r="D102" s="739"/>
      <c r="E102" s="739"/>
      <c r="F102" s="739"/>
      <c r="G102" s="739"/>
      <c r="H102" s="739"/>
      <c r="I102" s="739"/>
      <c r="J102" s="739"/>
      <c r="K102" s="740">
        <f>COUNTIF(K12:K18,"&gt;0")+COUNTIF(K20:K26,"&gt;0")+COUNTIF(K29:K32,"&gt;0")+COUNTIF(K34:K36,"&gt;0")+COUNTIF(K39:K46,"&gt;0")+COUNTIF(K75:K79,"&gt;0")+COUNTIF(K50:K57,"&gt;0")+COUNTIF(K61:K63,"&gt;0")+COUNTIF(K67:K68,"&gt;0")+COUNTIF(K71:K72,"&gt;0")</f>
        <v>46</v>
      </c>
      <c r="L102" s="741"/>
      <c r="M102" s="741"/>
      <c r="N102" s="741"/>
      <c r="O102" s="741"/>
      <c r="P102" s="741"/>
      <c r="Q102" s="742"/>
      <c r="R102" s="743">
        <f>COUNTIF(R12:R18,"&gt;0")+COUNTIF(R20:R26,"&gt;0")+COUNTIF(R29:R32,"&gt;0")+COUNTIF(R34:R36,"&gt;0")+COUNTIF(R39:R46,"&gt;0")+DCOUNT(A9:CC72,"21",A115:B116)+COUNTIF(R75:R79,"&gt;0")</f>
        <v>12</v>
      </c>
      <c r="S102" s="744"/>
      <c r="T102" s="744"/>
      <c r="U102" s="744"/>
      <c r="V102" s="744"/>
      <c r="W102" s="745"/>
      <c r="X102" s="733">
        <f>COUNTIF(X12:X18,"&gt;0")+COUNTIF(X20:X26,"&gt;0")+COUNTIF(X29:X32,"&gt;0")+COUNTIF(X34:X36,"&gt;0")+COUNTIF(X39:X46,"&gt;0")+DCOUNT(A9:CC72,"21",A117:B118)+COUNTIF(X75:X79,"&gt;0")</f>
        <v>11</v>
      </c>
      <c r="Y102" s="733"/>
      <c r="Z102" s="733"/>
      <c r="AA102" s="733"/>
      <c r="AB102" s="733"/>
      <c r="AC102" s="733"/>
      <c r="AD102" s="732">
        <f>COUNTIF(AD12:AD18,"&gt;0")+COUNTIF(AD20:AD26,"&gt;0")+COUNTIF(AD29:AD32,"&gt;0")+COUNTIF(AD34:AD36,"&gt;0")+COUNTIF(AD71:AD72,"&gt;0")+COUNTIF(AD67:AD68,"&gt;0")+COUNTIF(AD61:AD63,"&gt;0")+COUNTIF(AD50:AD57,"&gt;0")+COUNTIF(AD39:AD46,"&gt;0")+COUNTIF(AD75:AD79,"&gt;0")+DCOUNT($A$9:$CC$79,"21",$A$119:$B$120)</f>
        <v>15</v>
      </c>
      <c r="AE102" s="733"/>
      <c r="AF102" s="733"/>
      <c r="AG102" s="733"/>
      <c r="AH102" s="733"/>
      <c r="AI102" s="734"/>
      <c r="AJ102" s="733">
        <f>COUNTIF(AJ12:AJ18,"&gt;0")+COUNTIF(AJ20:AJ26,"&gt;0")+COUNTIF(AJ29:AJ32,"&gt;0")+COUNTIF(AJ34:AJ36,"&gt;0")+COUNTIF(AJ71:AJ72,"&gt;0")+COUNTIF(AJ67:AJ68,"&gt;0")+COUNTIF(AJ61:AJ63,"&gt;0")+COUNTIF(AJ50:AJ57,"&gt;0")+COUNTIF(AJ39:AJ46,"&gt;0")+COUNTIF(AJ75:AJ79,"&gt;0")+DCOUNT($A$9:$CC$79,"21",$A$119:$B$120)</f>
        <v>14</v>
      </c>
      <c r="AK102" s="733"/>
      <c r="AL102" s="733"/>
      <c r="AM102" s="733"/>
      <c r="AN102" s="733"/>
      <c r="AO102" s="733"/>
      <c r="AP102" s="732">
        <f>COUNTIF(AP12:AP18,"&gt;0")+COUNTIF(AP20:AP26,"&gt;0")+COUNTIF(AP29:AP32,"&gt;0")+COUNTIF(AP34:AP36,"&gt;0")+COUNTIF(AP71:AP72,"&gt;0")+COUNTIF(AP67:AP68,"&gt;0")+COUNTIF(AP61:AP63,"&gt;0")+COUNTIF(AP50:AP57,"&gt;0")+COUNTIF(AP39:AP46,"&gt;0")+COUNTIF(AP75:AP79,"&gt;0")+DCOUNT($A$9:$CC$79,"21",$A$119:$B$120)</f>
        <v>12</v>
      </c>
      <c r="AQ102" s="733"/>
      <c r="AR102" s="733"/>
      <c r="AS102" s="733"/>
      <c r="AT102" s="733"/>
      <c r="AU102" s="734"/>
      <c r="AV102" s="733">
        <f>COUNTIF(AV12:AV18,"&gt;0")+COUNTIF(AV20:AV26,"&gt;0")+COUNTIF(AV29:AV32,"&gt;0")+COUNTIF(AV34:AV36,"&gt;0")+COUNTIF(AV71:AV72,"&gt;0")+COUNTIF(AV67:AV68,"&gt;0")+COUNTIF(AV61:AV63,"&gt;0")+COUNTIF(AV50:AV57,"&gt;0")+COUNTIF(AV39:AV46,"&gt;0")+COUNTIF(AV75:AV79,"&gt;0")+DCOUNT($A$9:$CC$79,"21",$A$119:$B$120)</f>
        <v>8</v>
      </c>
      <c r="AW102" s="733"/>
      <c r="AX102" s="733"/>
      <c r="AY102" s="733"/>
      <c r="AZ102" s="733"/>
      <c r="BA102" s="733"/>
      <c r="BB102" s="732">
        <f>COUNTIF(BB12:BB18,"&gt;0")+COUNTIF(BB20:BB26,"&gt;0")+COUNTIF(BB29:BB32,"&gt;0")+COUNTIF(BB34:BB36,"&gt;0")+COUNTIF(BB71:BB72,"&gt;0")+COUNTIF(BB67:BB68,"&gt;0")+COUNTIF(BB61:BB63,"&gt;0")+COUNTIF(BB50:BB57,"&gt;0")+COUNTIF(BB39:BB46,"&gt;0")+COUNTIF(BB75:BB79,"&gt;0")+DCOUNT($A$9:$CC$79,"21",$A$119:$B$120)</f>
        <v>7</v>
      </c>
      <c r="BC102" s="733"/>
      <c r="BD102" s="733"/>
      <c r="BE102" s="733"/>
      <c r="BF102" s="733"/>
      <c r="BG102" s="734"/>
      <c r="BH102" s="732">
        <f>COUNTIF(BH12:BH18,"&gt;0")+COUNTIF(BH20:BH26,"&gt;0")+COUNTIF(BH29:BH32,"&gt;0")+COUNTIF(BH34:BH36,"&gt;0")+COUNTIF(BH71:BH72,"&gt;0")+COUNTIF(BH67:BH68,"&gt;0")+COUNTIF(BH61:BH63,"&gt;0")+COUNTIF(BH50:BH57,"&gt;0")+COUNTIF(BH39:BH46,"&gt;0")+COUNTIF(BH75:BH79,"&gt;0")+DCOUNT($A$9:$CC$79,"21",$A$119:$B$120)</f>
        <v>11</v>
      </c>
      <c r="BI102" s="733"/>
      <c r="BJ102" s="733"/>
      <c r="BK102" s="733"/>
      <c r="BL102" s="733"/>
      <c r="BM102" s="734"/>
      <c r="BN102" s="733">
        <f>COUNTIF(BN12:BN18,"&gt;0")+COUNTIF(BN20:BN26,"&gt;0")+COUNTIF(BN29:BN32,"&gt;0")+COUNTIF(BN34:BN36,"&gt;0")+COUNTIF(BN39:BN46,"&gt;0")+DCOUNT(A9:CC72,"21",A131:B132)+COUNTIF(BN75:BN79,"&gt;0")</f>
        <v>0</v>
      </c>
      <c r="BO102" s="733"/>
      <c r="BP102" s="733"/>
      <c r="BQ102" s="733"/>
      <c r="BR102" s="733"/>
      <c r="BS102" s="733"/>
      <c r="BT102" s="733"/>
      <c r="BU102" s="735"/>
      <c r="BV102" s="758">
        <f>COUNTIF(BV12:BV18,"&gt;0")+COUNTIF(BV20:BV26,"&gt;0")+COUNTIF(BV29:BV32,"&gt;0")+COUNTIF(BV34:BV36,"&gt;0")+COUNTIF(BV39:BV46,"&gt;0")+DCOUNT(A9:CC72,"21",A133:B134)+COUNTIF(BV75:BV79,"&gt;0")</f>
        <v>0</v>
      </c>
      <c r="BW102" s="733"/>
      <c r="BX102" s="733"/>
      <c r="BY102" s="733"/>
      <c r="BZ102" s="733"/>
      <c r="CA102" s="733"/>
      <c r="CB102" s="733"/>
      <c r="CC102" s="759"/>
      <c r="CD102" s="443"/>
      <c r="CE102" s="443"/>
    </row>
    <row r="103" spans="1:83" s="121" customFormat="1" x14ac:dyDescent="0.2">
      <c r="A103" s="467"/>
      <c r="B103" s="738" t="s">
        <v>83</v>
      </c>
      <c r="C103" s="739"/>
      <c r="D103" s="739"/>
      <c r="E103" s="739"/>
      <c r="F103" s="739"/>
      <c r="G103" s="739"/>
      <c r="H103" s="739"/>
      <c r="I103" s="739"/>
      <c r="J103" s="739"/>
      <c r="K103" s="760">
        <f>COUNTIF(K81:K84,"&gt;0")+COUNTIF(K88:K89,"&gt;0")</f>
        <v>6</v>
      </c>
      <c r="L103" s="761"/>
      <c r="M103" s="761"/>
      <c r="N103" s="761"/>
      <c r="O103" s="761"/>
      <c r="P103" s="761"/>
      <c r="Q103" s="762"/>
      <c r="R103" s="763">
        <f>COUNTIF(R81:R84,"&gt;0")+COUNTIF(R88:R89,"&gt;0")</f>
        <v>0</v>
      </c>
      <c r="S103" s="764"/>
      <c r="T103" s="764"/>
      <c r="U103" s="764"/>
      <c r="V103" s="764"/>
      <c r="W103" s="765"/>
      <c r="X103" s="759">
        <f>COUNTIF(X81:X84,"&gt;0")+COUNTIF(X88:X89,"&gt;0")</f>
        <v>0</v>
      </c>
      <c r="Y103" s="764"/>
      <c r="Z103" s="764"/>
      <c r="AA103" s="764"/>
      <c r="AB103" s="764"/>
      <c r="AC103" s="758"/>
      <c r="AD103" s="763">
        <f>COUNTIF(AD81:AD84,"&gt;0")+COUNTIF(AD88:AD89,"&gt;0")</f>
        <v>0</v>
      </c>
      <c r="AE103" s="764"/>
      <c r="AF103" s="764"/>
      <c r="AG103" s="764"/>
      <c r="AH103" s="764"/>
      <c r="AI103" s="765"/>
      <c r="AJ103" s="759">
        <f>COUNTIF(AJ81:AJ84,"&gt;0")+COUNTIF(AJ88:AJ89,"&gt;0")</f>
        <v>3</v>
      </c>
      <c r="AK103" s="764"/>
      <c r="AL103" s="764"/>
      <c r="AM103" s="764"/>
      <c r="AN103" s="764"/>
      <c r="AO103" s="758"/>
      <c r="AP103" s="763">
        <f>COUNTIF(AP81:AP84,"&gt;0")+COUNTIF(AP88:AP89,"&gt;0")</f>
        <v>2</v>
      </c>
      <c r="AQ103" s="764"/>
      <c r="AR103" s="764"/>
      <c r="AS103" s="764"/>
      <c r="AT103" s="764"/>
      <c r="AU103" s="765"/>
      <c r="AV103" s="759">
        <f>COUNTIF(AV81:AV84,"&gt;0")+COUNTIF(AV88:AV89,"&gt;0")</f>
        <v>1</v>
      </c>
      <c r="AW103" s="764"/>
      <c r="AX103" s="764"/>
      <c r="AY103" s="764"/>
      <c r="AZ103" s="764"/>
      <c r="BA103" s="758"/>
      <c r="BB103" s="763">
        <f>COUNTIF(BB81:BB84,"&gt;0")+COUNTIF(BB88:BB89,"&gt;0")</f>
        <v>2</v>
      </c>
      <c r="BC103" s="764"/>
      <c r="BD103" s="764"/>
      <c r="BE103" s="764"/>
      <c r="BF103" s="764"/>
      <c r="BG103" s="765"/>
      <c r="BH103" s="763">
        <f>COUNTIF(BH81:BH84,"&gt;0")+COUNTIF(BH88:BH89,"&gt;0")</f>
        <v>0</v>
      </c>
      <c r="BI103" s="764"/>
      <c r="BJ103" s="764"/>
      <c r="BK103" s="764"/>
      <c r="BL103" s="764"/>
      <c r="BM103" s="765"/>
      <c r="BN103" s="759" t="e">
        <f>COUNTIF(BN81:BN83,"&gt;0")+COUNTIF(#REF!,"&gt;0")</f>
        <v>#REF!</v>
      </c>
      <c r="BO103" s="764"/>
      <c r="BP103" s="764"/>
      <c r="BQ103" s="764"/>
      <c r="BR103" s="764"/>
      <c r="BS103" s="764"/>
      <c r="BT103" s="764"/>
      <c r="BU103" s="758"/>
      <c r="BV103" s="764" t="e">
        <f>COUNTIF(BV81:BV83,"&gt;0")+COUNTIF(#REF!,"&gt;0")</f>
        <v>#REF!</v>
      </c>
      <c r="BW103" s="764"/>
      <c r="BX103" s="764"/>
      <c r="BY103" s="764"/>
      <c r="BZ103" s="764"/>
      <c r="CA103" s="764"/>
      <c r="CB103" s="764"/>
      <c r="CC103" s="764"/>
      <c r="CD103" s="443"/>
      <c r="CE103" s="443"/>
    </row>
    <row r="104" spans="1:83" s="121" customFormat="1" ht="14.25" customHeight="1" x14ac:dyDescent="0.2">
      <c r="A104" s="471"/>
      <c r="B104" s="738" t="s">
        <v>238</v>
      </c>
      <c r="C104" s="739"/>
      <c r="D104" s="739"/>
      <c r="E104" s="739"/>
      <c r="F104" s="739"/>
      <c r="G104" s="739"/>
      <c r="H104" s="739"/>
      <c r="I104" s="739"/>
      <c r="J104" s="739"/>
      <c r="K104" s="771">
        <v>54</v>
      </c>
      <c r="L104" s="772"/>
      <c r="M104" s="772"/>
      <c r="N104" s="772"/>
      <c r="O104" s="772"/>
      <c r="P104" s="772"/>
      <c r="Q104" s="773"/>
      <c r="R104" s="766">
        <f t="shared" ref="R104" si="204">R97/V4</f>
        <v>54</v>
      </c>
      <c r="S104" s="767"/>
      <c r="T104" s="767"/>
      <c r="U104" s="767"/>
      <c r="V104" s="767"/>
      <c r="W104" s="768"/>
      <c r="X104" s="769">
        <f t="shared" ref="X104" si="205">X97/AB4</f>
        <v>54</v>
      </c>
      <c r="Y104" s="767"/>
      <c r="Z104" s="767"/>
      <c r="AA104" s="767"/>
      <c r="AB104" s="767"/>
      <c r="AC104" s="770"/>
      <c r="AD104" s="766">
        <f>AD97/AH4</f>
        <v>54</v>
      </c>
      <c r="AE104" s="767"/>
      <c r="AF104" s="767"/>
      <c r="AG104" s="767"/>
      <c r="AH104" s="767"/>
      <c r="AI104" s="768"/>
      <c r="AJ104" s="769">
        <f>AJ97/AN4</f>
        <v>54</v>
      </c>
      <c r="AK104" s="767"/>
      <c r="AL104" s="767"/>
      <c r="AM104" s="767"/>
      <c r="AN104" s="767"/>
      <c r="AO104" s="770"/>
      <c r="AP104" s="766">
        <f>AP97/AT4</f>
        <v>54</v>
      </c>
      <c r="AQ104" s="767"/>
      <c r="AR104" s="767"/>
      <c r="AS104" s="767"/>
      <c r="AT104" s="767"/>
      <c r="AU104" s="768"/>
      <c r="AV104" s="769">
        <f>AV97/AZ4</f>
        <v>54</v>
      </c>
      <c r="AW104" s="767"/>
      <c r="AX104" s="767"/>
      <c r="AY104" s="767"/>
      <c r="AZ104" s="767"/>
      <c r="BA104" s="770"/>
      <c r="BB104" s="766">
        <f>BB97/BF4</f>
        <v>54</v>
      </c>
      <c r="BC104" s="767"/>
      <c r="BD104" s="767"/>
      <c r="BE104" s="767"/>
      <c r="BF104" s="767"/>
      <c r="BG104" s="768"/>
      <c r="BH104" s="766">
        <f>BH97/BL4</f>
        <v>54</v>
      </c>
      <c r="BI104" s="767"/>
      <c r="BJ104" s="767"/>
      <c r="BK104" s="767"/>
      <c r="BL104" s="767"/>
      <c r="BM104" s="768"/>
      <c r="BN104" s="769">
        <f>IF(AND(BS4=0,BT6=0,BT7=0),0,IF(BN101=0,0,BN101/(BS4+BT6+BT7)))</f>
        <v>0</v>
      </c>
      <c r="BO104" s="767"/>
      <c r="BP104" s="767"/>
      <c r="BQ104" s="767"/>
      <c r="BR104" s="767"/>
      <c r="BS104" s="767"/>
      <c r="BT104" s="767"/>
      <c r="BU104" s="770"/>
      <c r="BV104" s="767">
        <f>IF(AND(CA4=0,CB6=0,CB7=0),0,IF(BV101=0,0,BV101/(CA4+CB6+CB7)))</f>
        <v>0</v>
      </c>
      <c r="BW104" s="767"/>
      <c r="BX104" s="767"/>
      <c r="BY104" s="767"/>
      <c r="BZ104" s="767"/>
      <c r="CA104" s="767"/>
      <c r="CB104" s="767"/>
      <c r="CC104" s="770"/>
      <c r="CD104" s="443"/>
      <c r="CE104" s="443"/>
    </row>
    <row r="105" spans="1:83" s="121" customFormat="1" x14ac:dyDescent="0.2">
      <c r="A105" s="472"/>
      <c r="B105" s="738" t="s">
        <v>233</v>
      </c>
      <c r="C105" s="739"/>
      <c r="D105" s="739"/>
      <c r="E105" s="739"/>
      <c r="F105" s="739"/>
      <c r="G105" s="739"/>
      <c r="H105" s="739"/>
      <c r="I105" s="739"/>
      <c r="J105" s="739"/>
      <c r="K105" s="771">
        <f>IF('Титульный лист'!BD29=0,0,IF(L97=0,0,L97/(V4+AB4+AH4+AN4+AT4+AZ4+BF4+BL4+BS4+CA4)))</f>
        <v>36</v>
      </c>
      <c r="L105" s="772"/>
      <c r="M105" s="772"/>
      <c r="N105" s="772"/>
      <c r="O105" s="772"/>
      <c r="P105" s="772"/>
      <c r="Q105" s="773"/>
      <c r="R105" s="766">
        <f>IF(V4=0,0,IF(SUM(S97:V97)=0,0,SUM(S97:V97)/V4))</f>
        <v>36</v>
      </c>
      <c r="S105" s="767"/>
      <c r="T105" s="767"/>
      <c r="U105" s="767"/>
      <c r="V105" s="767"/>
      <c r="W105" s="768"/>
      <c r="X105" s="769">
        <f>IF(AB4=0,0,IF(SUM(Y97:AB97)=0,0,SUM(Y97:AB97)/AB4))</f>
        <v>36</v>
      </c>
      <c r="Y105" s="767"/>
      <c r="Z105" s="767"/>
      <c r="AA105" s="767"/>
      <c r="AB105" s="767"/>
      <c r="AC105" s="770"/>
      <c r="AD105" s="766">
        <f>IF(AH4=0,0,IF(SUM(AE97:AH97)=0,0,SUM(AE97:AH97)/AH4))</f>
        <v>36</v>
      </c>
      <c r="AE105" s="767"/>
      <c r="AF105" s="767"/>
      <c r="AG105" s="767"/>
      <c r="AH105" s="767"/>
      <c r="AI105" s="768"/>
      <c r="AJ105" s="769">
        <f>IF(AN4=0,0,IF(SUM(AK97:AN97)=0,0,SUM(AK97:AN97)/AN4))</f>
        <v>36</v>
      </c>
      <c r="AK105" s="767"/>
      <c r="AL105" s="767"/>
      <c r="AM105" s="767"/>
      <c r="AN105" s="767"/>
      <c r="AO105" s="770"/>
      <c r="AP105" s="766">
        <f>IF(AT4=0,0,IF(SUM(AQ97:AT97)=0,0,SUM(AQ97:AT97)/AT4))</f>
        <v>36</v>
      </c>
      <c r="AQ105" s="767"/>
      <c r="AR105" s="767"/>
      <c r="AS105" s="767"/>
      <c r="AT105" s="767"/>
      <c r="AU105" s="768"/>
      <c r="AV105" s="769">
        <f>IF(AZ4=0,0,IF(SUM(AW97:AZ97)=0,0,SUM(AW97:AZ97)/AZ4))</f>
        <v>36</v>
      </c>
      <c r="AW105" s="767"/>
      <c r="AX105" s="767"/>
      <c r="AY105" s="767"/>
      <c r="AZ105" s="767"/>
      <c r="BA105" s="770"/>
      <c r="BB105" s="766">
        <f>IF(BF4=0,0,IF(SUM(BC97:BF97)=0,0,SUM(BC97:BF97)/BF4))</f>
        <v>36</v>
      </c>
      <c r="BC105" s="767"/>
      <c r="BD105" s="767"/>
      <c r="BE105" s="767"/>
      <c r="BF105" s="767"/>
      <c r="BG105" s="768"/>
      <c r="BH105" s="766">
        <f>IF(BL4=0,0,IF(SUM(BI97:BL97)=0,0,SUM(BI97:BL97)/BL4))</f>
        <v>36</v>
      </c>
      <c r="BI105" s="767"/>
      <c r="BJ105" s="767"/>
      <c r="BK105" s="767"/>
      <c r="BL105" s="767"/>
      <c r="BM105" s="768"/>
      <c r="BN105" s="769">
        <f>IF(BS4=0,0,IF(SUM(BO97:BS97)=0,0,SUM(BO97:BS97)/BS4))</f>
        <v>0</v>
      </c>
      <c r="BO105" s="767"/>
      <c r="BP105" s="767"/>
      <c r="BQ105" s="767"/>
      <c r="BR105" s="767"/>
      <c r="BS105" s="767"/>
      <c r="BT105" s="767"/>
      <c r="BU105" s="770"/>
      <c r="BV105" s="767">
        <f>IF(CA4=0,0,IF(SUM(BW97:CA97)=0,0,SUM(BW97:CA97)/CA4))</f>
        <v>0</v>
      </c>
      <c r="BW105" s="767"/>
      <c r="BX105" s="767"/>
      <c r="BY105" s="767"/>
      <c r="BZ105" s="767"/>
      <c r="CA105" s="767"/>
      <c r="CB105" s="767"/>
      <c r="CC105" s="770"/>
      <c r="CD105" s="443"/>
      <c r="CE105" s="443"/>
    </row>
    <row r="106" spans="1:83" s="121" customFormat="1" ht="12.75" customHeight="1" x14ac:dyDescent="0.2">
      <c r="A106" s="472"/>
      <c r="B106" s="738" t="s">
        <v>232</v>
      </c>
      <c r="C106" s="739"/>
      <c r="D106" s="739"/>
      <c r="E106" s="739"/>
      <c r="F106" s="739"/>
      <c r="G106" s="739"/>
      <c r="H106" s="739"/>
      <c r="I106" s="739"/>
      <c r="J106" s="739"/>
      <c r="K106" s="740">
        <f>R106+X106+AD106+AJ106+AP106+AV106+BB106+BH106+BN106+BV106</f>
        <v>15</v>
      </c>
      <c r="L106" s="741"/>
      <c r="M106" s="741" t="s">
        <v>263</v>
      </c>
      <c r="N106" s="741"/>
      <c r="O106" s="741"/>
      <c r="P106" s="741">
        <f>V106+AB106+AH106+AN106+AT106+AZ106+BF106+BL106+BS106+CA106</f>
        <v>15</v>
      </c>
      <c r="Q106" s="742"/>
      <c r="R106" s="732">
        <f>COUNTIF($D$10:$D$79,"*1*")</f>
        <v>0</v>
      </c>
      <c r="S106" s="733"/>
      <c r="T106" s="733" t="s">
        <v>263</v>
      </c>
      <c r="U106" s="733"/>
      <c r="V106" s="733">
        <f>COUNTIF($D$10:$D$79,"*1*")-DCOUNTA($A$9:$H$79,"5",E113:F114)</f>
        <v>0</v>
      </c>
      <c r="W106" s="734"/>
      <c r="X106" s="733">
        <f>COUNTIF($D$10:$D$79,"*2*")</f>
        <v>4</v>
      </c>
      <c r="Y106" s="733"/>
      <c r="Z106" s="733" t="s">
        <v>263</v>
      </c>
      <c r="AA106" s="733"/>
      <c r="AB106" s="733">
        <f>COUNTIF($D$10:$D$79,"*2*")-DCOUNTA($A$9:$H$79,"5",E115:F116)</f>
        <v>4</v>
      </c>
      <c r="AC106" s="733"/>
      <c r="AD106" s="732">
        <f>COUNTIF($D$10:$D$79,"*3*")</f>
        <v>2</v>
      </c>
      <c r="AE106" s="733"/>
      <c r="AF106" s="733" t="s">
        <v>263</v>
      </c>
      <c r="AG106" s="733"/>
      <c r="AH106" s="733">
        <f>COUNTIF($D$10:$D$79,"*3*")-DCOUNTA($A$9:$H$79,"5",E117:F118)</f>
        <v>2</v>
      </c>
      <c r="AI106" s="734"/>
      <c r="AJ106" s="733">
        <f>COUNTIF($D$10:$D$79,"*4*")</f>
        <v>2</v>
      </c>
      <c r="AK106" s="733"/>
      <c r="AL106" s="733" t="s">
        <v>263</v>
      </c>
      <c r="AM106" s="733"/>
      <c r="AN106" s="733">
        <f>COUNTIF($D$10:$D$79,"*4*")-DCOUNTA($A$9:$H$79,"5",E119:F120)</f>
        <v>2</v>
      </c>
      <c r="AO106" s="733"/>
      <c r="AP106" s="732">
        <f>COUNTIF($D$10:$D$79,"*5*")</f>
        <v>2</v>
      </c>
      <c r="AQ106" s="733"/>
      <c r="AR106" s="733" t="s">
        <v>263</v>
      </c>
      <c r="AS106" s="733"/>
      <c r="AT106" s="733">
        <f>COUNTIF($D$10:$D$79,"*5*")-DCOUNTA($A$9:$H$79,"5",E121:F122)</f>
        <v>2</v>
      </c>
      <c r="AU106" s="734"/>
      <c r="AV106" s="733">
        <f>COUNTIF($D$10:$D$79,"*6*")</f>
        <v>2</v>
      </c>
      <c r="AW106" s="733"/>
      <c r="AX106" s="733" t="s">
        <v>263</v>
      </c>
      <c r="AY106" s="733"/>
      <c r="AZ106" s="733">
        <f>COUNTIF($D$10:$D$79,"*6*")-DCOUNTA($A$9:$H$79,"5",E123:F124)</f>
        <v>2</v>
      </c>
      <c r="BA106" s="733"/>
      <c r="BB106" s="732">
        <f>COUNTIF($D$10:$D$79,"*7*")</f>
        <v>0</v>
      </c>
      <c r="BC106" s="733"/>
      <c r="BD106" s="733" t="s">
        <v>263</v>
      </c>
      <c r="BE106" s="733"/>
      <c r="BF106" s="733">
        <f>COUNTIF($D$10:$D$79,"*7*")-DCOUNTA($A$9:$H$79,"5",E125:F126)</f>
        <v>0</v>
      </c>
      <c r="BG106" s="734"/>
      <c r="BH106" s="732">
        <f>COUNTIF($D$10:$D$79,"*8*")</f>
        <v>3</v>
      </c>
      <c r="BI106" s="733"/>
      <c r="BJ106" s="733" t="s">
        <v>263</v>
      </c>
      <c r="BK106" s="733"/>
      <c r="BL106" s="733">
        <f>COUNTIF($D$10:$D$79,"*8*")-DCOUNTA($A$9:$H$79,"5",E127:F128)</f>
        <v>3</v>
      </c>
      <c r="BM106" s="734"/>
      <c r="BN106" s="733">
        <f>COUNTIF($D$10:$D$79,"*9*")</f>
        <v>0</v>
      </c>
      <c r="BO106" s="733"/>
      <c r="BP106" s="733"/>
      <c r="BQ106" s="733" t="s">
        <v>263</v>
      </c>
      <c r="BR106" s="733"/>
      <c r="BS106" s="733">
        <f>COUNTIF($D$10:$D$79,"*9*")-DCOUNTA($A$9:$H$79,"5",E129:F130)</f>
        <v>0</v>
      </c>
      <c r="BT106" s="733"/>
      <c r="BU106" s="735"/>
      <c r="BV106" s="758">
        <f>COUNTIF($D$10:$D$79,"*{*")</f>
        <v>0</v>
      </c>
      <c r="BW106" s="733"/>
      <c r="BX106" s="733"/>
      <c r="BY106" s="733" t="s">
        <v>263</v>
      </c>
      <c r="BZ106" s="733"/>
      <c r="CA106" s="733">
        <f>COUNTIF($D$10:$D$79,"*{*")-DCOUNTA($A$9:$H$79,"5",E131:F132)</f>
        <v>0</v>
      </c>
      <c r="CB106" s="733"/>
      <c r="CC106" s="735"/>
      <c r="CD106" s="443"/>
      <c r="CE106" s="443"/>
    </row>
    <row r="107" spans="1:83" s="121" customFormat="1" ht="12.75" customHeight="1" x14ac:dyDescent="0.2">
      <c r="A107" s="467"/>
      <c r="B107" s="738" t="s">
        <v>231</v>
      </c>
      <c r="C107" s="739"/>
      <c r="D107" s="739"/>
      <c r="E107" s="739"/>
      <c r="F107" s="739"/>
      <c r="G107" s="739"/>
      <c r="H107" s="739"/>
      <c r="I107" s="739"/>
      <c r="J107" s="739"/>
      <c r="K107" s="740">
        <f>R107+X107+AD107+AJ107+AP107+AV107+BB107+BH107+BN107+BV107</f>
        <v>45</v>
      </c>
      <c r="L107" s="741"/>
      <c r="M107" s="741" t="s">
        <v>263</v>
      </c>
      <c r="N107" s="741"/>
      <c r="O107" s="741"/>
      <c r="P107" s="741">
        <f>V107+AB107+AH107+AN107+AT107+AZ107+BF107+BL107+BS107+CA107</f>
        <v>38</v>
      </c>
      <c r="Q107" s="742"/>
      <c r="R107" s="732">
        <f>COUNTIF($E$10:$E$79,"*1*")</f>
        <v>5</v>
      </c>
      <c r="S107" s="733"/>
      <c r="T107" s="733" t="s">
        <v>263</v>
      </c>
      <c r="U107" s="733"/>
      <c r="V107" s="733">
        <f>COUNTIF($E$10:$E$79,"*1*")-DCOUNTA($A$9:$H$79,"5",C113:D114)</f>
        <v>4</v>
      </c>
      <c r="W107" s="734"/>
      <c r="X107" s="733">
        <f>COUNTIF($E$10:$E$79,"*2*")</f>
        <v>7</v>
      </c>
      <c r="Y107" s="733"/>
      <c r="Z107" s="733" t="s">
        <v>263</v>
      </c>
      <c r="AA107" s="733"/>
      <c r="AB107" s="733">
        <f>COUNTIF($E$10:$E$79,"*2*")-DCOUNTA($A$9:$H$79,"5",C115:D116)</f>
        <v>6</v>
      </c>
      <c r="AC107" s="733"/>
      <c r="AD107" s="732">
        <f>COUNTIF($E$10:$E$79,"*3*")</f>
        <v>5</v>
      </c>
      <c r="AE107" s="733"/>
      <c r="AF107" s="733" t="s">
        <v>263</v>
      </c>
      <c r="AG107" s="733"/>
      <c r="AH107" s="733">
        <f>COUNTIF($E$10:$E$79,"*3*")-DCOUNTA($A$9:$H$79,"5",C117:D118)</f>
        <v>4</v>
      </c>
      <c r="AI107" s="734"/>
      <c r="AJ107" s="733">
        <f>COUNTIF($E$10:$E$79,"*4*")</f>
        <v>7</v>
      </c>
      <c r="AK107" s="733"/>
      <c r="AL107" s="733" t="s">
        <v>263</v>
      </c>
      <c r="AM107" s="733"/>
      <c r="AN107" s="733">
        <f>COUNTIF($E$10:$E$79,"*4*")-DCOUNTA($A$9:$H$79,"5",C119:D120)</f>
        <v>6</v>
      </c>
      <c r="AO107" s="733"/>
      <c r="AP107" s="732">
        <f>COUNTIF($E$10:$E$79,"*5*")</f>
        <v>6</v>
      </c>
      <c r="AQ107" s="733"/>
      <c r="AR107" s="733" t="s">
        <v>263</v>
      </c>
      <c r="AS107" s="733"/>
      <c r="AT107" s="733">
        <f>COUNTIF($E$10:$E$79,"*5*")-DCOUNTA($A$9:$H$79,"5",C121:D122)</f>
        <v>5</v>
      </c>
      <c r="AU107" s="734"/>
      <c r="AV107" s="733">
        <f>COUNTIF($E$10:$E$79,"*6*")</f>
        <v>4</v>
      </c>
      <c r="AW107" s="733"/>
      <c r="AX107" s="733" t="s">
        <v>263</v>
      </c>
      <c r="AY107" s="733"/>
      <c r="AZ107" s="733">
        <f>COUNTIF($E$10:$E$79,"*6*")-DCOUNTA($A$9:$H$79,"5",C123:D124)</f>
        <v>3</v>
      </c>
      <c r="BA107" s="733"/>
      <c r="BB107" s="732">
        <f>COUNTIF($E$10:$E$79,"*7*")</f>
        <v>1</v>
      </c>
      <c r="BC107" s="733"/>
      <c r="BD107" s="733" t="s">
        <v>263</v>
      </c>
      <c r="BE107" s="733"/>
      <c r="BF107" s="733">
        <f>COUNTIF($E$10:$E$79,"*7*")-DCOUNTA($A$9:$H$79,"5",C125:D126)</f>
        <v>0</v>
      </c>
      <c r="BG107" s="734"/>
      <c r="BH107" s="732">
        <f>COUNTIF($E$10:$E$79,"*8*")</f>
        <v>10</v>
      </c>
      <c r="BI107" s="733"/>
      <c r="BJ107" s="733" t="s">
        <v>263</v>
      </c>
      <c r="BK107" s="733"/>
      <c r="BL107" s="733">
        <f>COUNTIF($E$10:$F$79,"*8*")-DCOUNTA($A$9:$H$79,"5",C127:D128)</f>
        <v>10</v>
      </c>
      <c r="BM107" s="734"/>
      <c r="BN107" s="733">
        <f>COUNTIF($E$10:$E$79,"*9*")</f>
        <v>0</v>
      </c>
      <c r="BO107" s="733"/>
      <c r="BP107" s="733"/>
      <c r="BQ107" s="733" t="s">
        <v>263</v>
      </c>
      <c r="BR107" s="733"/>
      <c r="BS107" s="733">
        <f>COUNTIF($E$10:$E$79,"*9*")-DCOUNTA($A$9:$H$79,"5",C129:D130)</f>
        <v>0</v>
      </c>
      <c r="BT107" s="733"/>
      <c r="BU107" s="735"/>
      <c r="BV107" s="758">
        <f>COUNTIF($E$10:$E$79,"*{*")</f>
        <v>0</v>
      </c>
      <c r="BW107" s="733"/>
      <c r="BX107" s="733"/>
      <c r="BY107" s="733" t="s">
        <v>263</v>
      </c>
      <c r="BZ107" s="733"/>
      <c r="CA107" s="733">
        <f>COUNTIF($E$10:$E$79,"*{*")-DCOUNTA($A$9:$H$79,"5",C131:D132)</f>
        <v>0</v>
      </c>
      <c r="CB107" s="733"/>
      <c r="CC107" s="735"/>
      <c r="CD107" s="443"/>
      <c r="CE107" s="443"/>
    </row>
    <row r="108" spans="1:83" s="121" customFormat="1" ht="12.75" customHeight="1" x14ac:dyDescent="0.2">
      <c r="A108" s="467"/>
      <c r="B108" s="738" t="s">
        <v>229</v>
      </c>
      <c r="C108" s="739"/>
      <c r="D108" s="739"/>
      <c r="E108" s="739"/>
      <c r="F108" s="739"/>
      <c r="G108" s="739"/>
      <c r="H108" s="739"/>
      <c r="I108" s="739"/>
      <c r="J108" s="739"/>
      <c r="K108" s="740">
        <f>R108+X108+AD108+AJ108+AP108+AV108+BB108+BH108+BN108+BV108</f>
        <v>2</v>
      </c>
      <c r="L108" s="741"/>
      <c r="M108" s="741"/>
      <c r="N108" s="741"/>
      <c r="O108" s="741"/>
      <c r="P108" s="741"/>
      <c r="Q108" s="742"/>
      <c r="R108" s="732">
        <f>COUNTIF($G$10:$G$79,"*1*")</f>
        <v>0</v>
      </c>
      <c r="S108" s="733"/>
      <c r="T108" s="733"/>
      <c r="U108" s="733"/>
      <c r="V108" s="733"/>
      <c r="W108" s="734"/>
      <c r="X108" s="733">
        <f>COUNTIF($G$10:$G$79,"*2*")</f>
        <v>0</v>
      </c>
      <c r="Y108" s="733"/>
      <c r="Z108" s="733"/>
      <c r="AA108" s="733"/>
      <c r="AB108" s="733"/>
      <c r="AC108" s="733"/>
      <c r="AD108" s="732">
        <f>COUNTIF($G$10:$G$79,"*3*")</f>
        <v>0</v>
      </c>
      <c r="AE108" s="733"/>
      <c r="AF108" s="733"/>
      <c r="AG108" s="733"/>
      <c r="AH108" s="733"/>
      <c r="AI108" s="734"/>
      <c r="AJ108" s="733">
        <f>COUNTIF($G$10:$G$79,"*4*")</f>
        <v>0</v>
      </c>
      <c r="AK108" s="733"/>
      <c r="AL108" s="733"/>
      <c r="AM108" s="733"/>
      <c r="AN108" s="733"/>
      <c r="AO108" s="733"/>
      <c r="AP108" s="732">
        <f>COUNTIF($G$10:$G$79,"*5*")</f>
        <v>0</v>
      </c>
      <c r="AQ108" s="733"/>
      <c r="AR108" s="733"/>
      <c r="AS108" s="733"/>
      <c r="AT108" s="733"/>
      <c r="AU108" s="734"/>
      <c r="AV108" s="733">
        <f>COUNTIF($G$10:$G$79,"*6*")</f>
        <v>1</v>
      </c>
      <c r="AW108" s="733"/>
      <c r="AX108" s="733"/>
      <c r="AY108" s="733"/>
      <c r="AZ108" s="733"/>
      <c r="BA108" s="733"/>
      <c r="BB108" s="732">
        <f>COUNTIF($G$10:$G$79,"*7*")</f>
        <v>0</v>
      </c>
      <c r="BC108" s="733"/>
      <c r="BD108" s="733"/>
      <c r="BE108" s="733"/>
      <c r="BF108" s="733"/>
      <c r="BG108" s="734"/>
      <c r="BH108" s="732">
        <f>COUNTIF($G$10:$G$79,"*8*")</f>
        <v>1</v>
      </c>
      <c r="BI108" s="733"/>
      <c r="BJ108" s="733"/>
      <c r="BK108" s="733"/>
      <c r="BL108" s="733"/>
      <c r="BM108" s="734"/>
      <c r="BN108" s="733">
        <f>COUNTIF($G$10:$G$79,"*9*")</f>
        <v>0</v>
      </c>
      <c r="BO108" s="733"/>
      <c r="BP108" s="733"/>
      <c r="BQ108" s="733"/>
      <c r="BR108" s="733"/>
      <c r="BS108" s="733"/>
      <c r="BT108" s="733"/>
      <c r="BU108" s="735"/>
      <c r="BV108" s="758">
        <f>COUNTIF($G$10:$G$79,"*Х*")</f>
        <v>0</v>
      </c>
      <c r="BW108" s="733"/>
      <c r="BX108" s="733"/>
      <c r="BY108" s="733"/>
      <c r="BZ108" s="733"/>
      <c r="CA108" s="733"/>
      <c r="CB108" s="733"/>
      <c r="CC108" s="759"/>
      <c r="CD108" s="443"/>
      <c r="CE108" s="443"/>
    </row>
    <row r="109" spans="1:83" s="121" customFormat="1" ht="12.75" customHeight="1" x14ac:dyDescent="0.2">
      <c r="A109" s="473"/>
      <c r="B109" s="774" t="s">
        <v>572</v>
      </c>
      <c r="C109" s="739"/>
      <c r="D109" s="739"/>
      <c r="E109" s="739"/>
      <c r="F109" s="739"/>
      <c r="G109" s="739"/>
      <c r="H109" s="739"/>
      <c r="I109" s="739"/>
      <c r="J109" s="739"/>
      <c r="K109" s="740">
        <f>R109+X109+AD109+AJ109+AP109+AV109+BB109+BH109+BN109+BV109</f>
        <v>20</v>
      </c>
      <c r="L109" s="741"/>
      <c r="M109" s="741"/>
      <c r="N109" s="741"/>
      <c r="O109" s="741"/>
      <c r="P109" s="741"/>
      <c r="Q109" s="742"/>
      <c r="R109" s="732">
        <f>COUNTIF($H$10:$H$79,"*1*")</f>
        <v>0</v>
      </c>
      <c r="S109" s="733"/>
      <c r="T109" s="733"/>
      <c r="U109" s="733"/>
      <c r="V109" s="733"/>
      <c r="W109" s="734"/>
      <c r="X109" s="733">
        <f>COUNTIF($H$10:$H$79,"*2*")</f>
        <v>0</v>
      </c>
      <c r="Y109" s="733"/>
      <c r="Z109" s="733"/>
      <c r="AA109" s="733"/>
      <c r="AB109" s="733"/>
      <c r="AC109" s="733"/>
      <c r="AD109" s="732">
        <f>COUNTIF($H$10:$H$79,"*3*")</f>
        <v>6</v>
      </c>
      <c r="AE109" s="733"/>
      <c r="AF109" s="733"/>
      <c r="AG109" s="733"/>
      <c r="AH109" s="733"/>
      <c r="AI109" s="734"/>
      <c r="AJ109" s="733">
        <f>COUNTIF($H$10:$H$79,"*4*")</f>
        <v>3</v>
      </c>
      <c r="AK109" s="733"/>
      <c r="AL109" s="733"/>
      <c r="AM109" s="733"/>
      <c r="AN109" s="733"/>
      <c r="AO109" s="733"/>
      <c r="AP109" s="732">
        <f>COUNTIF($H$10:$H$79,"*5*")</f>
        <v>3</v>
      </c>
      <c r="AQ109" s="733"/>
      <c r="AR109" s="733"/>
      <c r="AS109" s="733"/>
      <c r="AT109" s="733"/>
      <c r="AU109" s="734"/>
      <c r="AV109" s="733">
        <f>COUNTIF($H$10:$H$79,"*6*")</f>
        <v>2</v>
      </c>
      <c r="AW109" s="733"/>
      <c r="AX109" s="733"/>
      <c r="AY109" s="733"/>
      <c r="AZ109" s="733"/>
      <c r="BA109" s="733"/>
      <c r="BB109" s="732">
        <f>COUNTIF($H$10:$H$79,"*7*")</f>
        <v>6</v>
      </c>
      <c r="BC109" s="733"/>
      <c r="BD109" s="733"/>
      <c r="BE109" s="733"/>
      <c r="BF109" s="733"/>
      <c r="BG109" s="734"/>
      <c r="BH109" s="732">
        <f>COUNTIF($H$10:$H$79,"*8*")</f>
        <v>0</v>
      </c>
      <c r="BI109" s="733"/>
      <c r="BJ109" s="733"/>
      <c r="BK109" s="733"/>
      <c r="BL109" s="733"/>
      <c r="BM109" s="734"/>
      <c r="BN109" s="733">
        <f>COUNTIF($H$10:$H$79,"*9*")</f>
        <v>0</v>
      </c>
      <c r="BO109" s="733"/>
      <c r="BP109" s="733"/>
      <c r="BQ109" s="733"/>
      <c r="BR109" s="733"/>
      <c r="BS109" s="733"/>
      <c r="BT109" s="733"/>
      <c r="BU109" s="735"/>
      <c r="BV109" s="758">
        <f>COUNTIF($H$10:$H$79,"*Х*")</f>
        <v>0</v>
      </c>
      <c r="BW109" s="733"/>
      <c r="BX109" s="733"/>
      <c r="BY109" s="733"/>
      <c r="BZ109" s="733"/>
      <c r="CA109" s="733"/>
      <c r="CB109" s="733"/>
      <c r="CC109" s="759"/>
      <c r="CD109" s="443"/>
      <c r="CE109" s="443"/>
    </row>
    <row r="112" spans="1:83" hidden="1" x14ac:dyDescent="0.2">
      <c r="A112" s="775" t="s">
        <v>261</v>
      </c>
      <c r="B112" s="775"/>
      <c r="C112" s="776" t="s">
        <v>262</v>
      </c>
      <c r="D112" s="776"/>
      <c r="E112" s="776" t="s">
        <v>283</v>
      </c>
      <c r="F112" s="776"/>
    </row>
    <row r="113" spans="1:6" hidden="1" x14ac:dyDescent="0.2">
      <c r="A113" s="476">
        <v>1</v>
      </c>
      <c r="B113" s="476">
        <v>11</v>
      </c>
      <c r="C113" s="477">
        <v>2</v>
      </c>
      <c r="D113" s="478" t="s">
        <v>40</v>
      </c>
      <c r="E113" s="477">
        <v>2</v>
      </c>
      <c r="F113" s="478" t="s">
        <v>39</v>
      </c>
    </row>
    <row r="114" spans="1:6" ht="51" hidden="1" x14ac:dyDescent="0.2">
      <c r="A114" s="476" t="s">
        <v>239</v>
      </c>
      <c r="B114" s="476" t="s">
        <v>144</v>
      </c>
      <c r="C114" s="476" t="s">
        <v>7</v>
      </c>
      <c r="D114" s="479" t="s">
        <v>264</v>
      </c>
      <c r="E114" s="476" t="s">
        <v>7</v>
      </c>
      <c r="F114" s="479" t="s">
        <v>264</v>
      </c>
    </row>
    <row r="115" spans="1:6" hidden="1" x14ac:dyDescent="0.2">
      <c r="A115" s="476">
        <v>1</v>
      </c>
      <c r="B115" s="476">
        <v>21</v>
      </c>
      <c r="C115" s="477">
        <v>2</v>
      </c>
      <c r="D115" s="478" t="s">
        <v>40</v>
      </c>
      <c r="E115" s="477">
        <v>2</v>
      </c>
      <c r="F115" s="478" t="s">
        <v>39</v>
      </c>
    </row>
    <row r="116" spans="1:6" ht="51" hidden="1" x14ac:dyDescent="0.2">
      <c r="A116" s="476" t="s">
        <v>239</v>
      </c>
      <c r="B116" s="476" t="s">
        <v>144</v>
      </c>
      <c r="C116" s="476" t="s">
        <v>7</v>
      </c>
      <c r="D116" s="479" t="s">
        <v>265</v>
      </c>
      <c r="E116" s="476" t="s">
        <v>7</v>
      </c>
      <c r="F116" s="479" t="s">
        <v>265</v>
      </c>
    </row>
    <row r="117" spans="1:6" hidden="1" x14ac:dyDescent="0.2">
      <c r="A117" s="476">
        <v>1</v>
      </c>
      <c r="B117" s="476">
        <v>30</v>
      </c>
      <c r="C117" s="477">
        <v>2</v>
      </c>
      <c r="D117" s="478" t="s">
        <v>40</v>
      </c>
      <c r="E117" s="477">
        <v>2</v>
      </c>
      <c r="F117" s="478" t="s">
        <v>39</v>
      </c>
    </row>
    <row r="118" spans="1:6" ht="51" hidden="1" x14ac:dyDescent="0.2">
      <c r="A118" s="476" t="s">
        <v>239</v>
      </c>
      <c r="B118" s="476" t="s">
        <v>144</v>
      </c>
      <c r="C118" s="476" t="s">
        <v>7</v>
      </c>
      <c r="D118" s="479" t="s">
        <v>266</v>
      </c>
      <c r="E118" s="476" t="s">
        <v>7</v>
      </c>
      <c r="F118" s="479" t="s">
        <v>266</v>
      </c>
    </row>
    <row r="119" spans="1:6" hidden="1" x14ac:dyDescent="0.2">
      <c r="A119" s="476">
        <v>1</v>
      </c>
      <c r="B119" s="476">
        <v>39</v>
      </c>
      <c r="C119" s="477">
        <v>2</v>
      </c>
      <c r="D119" s="478" t="s">
        <v>40</v>
      </c>
      <c r="E119" s="477">
        <v>2</v>
      </c>
      <c r="F119" s="478" t="s">
        <v>39</v>
      </c>
    </row>
    <row r="120" spans="1:6" ht="51" hidden="1" x14ac:dyDescent="0.2">
      <c r="A120" s="476" t="s">
        <v>239</v>
      </c>
      <c r="B120" s="476" t="s">
        <v>144</v>
      </c>
      <c r="C120" s="476" t="s">
        <v>7</v>
      </c>
      <c r="D120" s="479" t="s">
        <v>267</v>
      </c>
      <c r="E120" s="476" t="s">
        <v>7</v>
      </c>
      <c r="F120" s="479" t="s">
        <v>267</v>
      </c>
    </row>
    <row r="121" spans="1:6" hidden="1" x14ac:dyDescent="0.2">
      <c r="A121" s="476">
        <v>1</v>
      </c>
      <c r="B121" s="476">
        <v>48</v>
      </c>
      <c r="C121" s="477">
        <v>2</v>
      </c>
      <c r="D121" s="478" t="s">
        <v>40</v>
      </c>
      <c r="E121" s="477">
        <v>2</v>
      </c>
      <c r="F121" s="478" t="s">
        <v>39</v>
      </c>
    </row>
    <row r="122" spans="1:6" ht="51" hidden="1" x14ac:dyDescent="0.2">
      <c r="A122" s="476" t="s">
        <v>239</v>
      </c>
      <c r="B122" s="476" t="s">
        <v>144</v>
      </c>
      <c r="C122" s="476" t="s">
        <v>7</v>
      </c>
      <c r="D122" s="479" t="s">
        <v>268</v>
      </c>
      <c r="E122" s="476" t="s">
        <v>7</v>
      </c>
      <c r="F122" s="479" t="s">
        <v>268</v>
      </c>
    </row>
    <row r="123" spans="1:6" hidden="1" x14ac:dyDescent="0.2">
      <c r="A123" s="476">
        <v>1</v>
      </c>
      <c r="B123" s="476">
        <v>57</v>
      </c>
      <c r="C123" s="477">
        <v>2</v>
      </c>
      <c r="D123" s="478" t="s">
        <v>40</v>
      </c>
      <c r="E123" s="477">
        <v>2</v>
      </c>
      <c r="F123" s="478" t="s">
        <v>39</v>
      </c>
    </row>
    <row r="124" spans="1:6" ht="51" hidden="1" x14ac:dyDescent="0.2">
      <c r="A124" s="476" t="s">
        <v>239</v>
      </c>
      <c r="B124" s="476" t="s">
        <v>144</v>
      </c>
      <c r="C124" s="476" t="s">
        <v>7</v>
      </c>
      <c r="D124" s="479" t="s">
        <v>269</v>
      </c>
      <c r="E124" s="476" t="s">
        <v>7</v>
      </c>
      <c r="F124" s="479" t="s">
        <v>269</v>
      </c>
    </row>
    <row r="125" spans="1:6" hidden="1" x14ac:dyDescent="0.2">
      <c r="A125" s="476">
        <v>1</v>
      </c>
      <c r="B125" s="476">
        <v>66</v>
      </c>
      <c r="C125" s="477">
        <v>2</v>
      </c>
      <c r="D125" s="478" t="s">
        <v>40</v>
      </c>
      <c r="E125" s="477">
        <v>2</v>
      </c>
      <c r="F125" s="478" t="s">
        <v>39</v>
      </c>
    </row>
    <row r="126" spans="1:6" ht="51" hidden="1" x14ac:dyDescent="0.2">
      <c r="A126" s="476" t="s">
        <v>239</v>
      </c>
      <c r="B126" s="476" t="s">
        <v>144</v>
      </c>
      <c r="C126" s="476" t="s">
        <v>7</v>
      </c>
      <c r="D126" s="479" t="s">
        <v>270</v>
      </c>
      <c r="E126" s="476" t="s">
        <v>7</v>
      </c>
      <c r="F126" s="479" t="s">
        <v>270</v>
      </c>
    </row>
    <row r="127" spans="1:6" hidden="1" x14ac:dyDescent="0.2">
      <c r="A127" s="476">
        <v>1</v>
      </c>
      <c r="B127" s="476">
        <v>75</v>
      </c>
      <c r="C127" s="477">
        <v>2</v>
      </c>
      <c r="D127" s="478" t="s">
        <v>40</v>
      </c>
      <c r="E127" s="477">
        <v>2</v>
      </c>
      <c r="F127" s="478" t="s">
        <v>39</v>
      </c>
    </row>
    <row r="128" spans="1:6" ht="51" hidden="1" x14ac:dyDescent="0.2">
      <c r="A128" s="476" t="s">
        <v>239</v>
      </c>
      <c r="B128" s="476" t="s">
        <v>144</v>
      </c>
      <c r="C128" s="476" t="s">
        <v>7</v>
      </c>
      <c r="D128" s="479" t="s">
        <v>271</v>
      </c>
      <c r="E128" s="476" t="s">
        <v>7</v>
      </c>
      <c r="F128" s="479" t="s">
        <v>271</v>
      </c>
    </row>
    <row r="129" spans="1:61" hidden="1" x14ac:dyDescent="0.2">
      <c r="A129" s="476">
        <v>1</v>
      </c>
      <c r="B129" s="476">
        <v>84</v>
      </c>
      <c r="C129" s="477">
        <v>2</v>
      </c>
      <c r="D129" s="478" t="s">
        <v>40</v>
      </c>
      <c r="E129" s="477">
        <v>2</v>
      </c>
      <c r="F129" s="478" t="s">
        <v>39</v>
      </c>
    </row>
    <row r="130" spans="1:61" ht="51" hidden="1" x14ac:dyDescent="0.2">
      <c r="A130" s="476" t="s">
        <v>239</v>
      </c>
      <c r="B130" s="476" t="s">
        <v>144</v>
      </c>
      <c r="C130" s="476" t="s">
        <v>7</v>
      </c>
      <c r="D130" s="479" t="s">
        <v>272</v>
      </c>
      <c r="E130" s="476" t="s">
        <v>7</v>
      </c>
      <c r="F130" s="479" t="s">
        <v>272</v>
      </c>
    </row>
    <row r="131" spans="1:61" hidden="1" x14ac:dyDescent="0.2">
      <c r="A131" s="476">
        <v>1</v>
      </c>
      <c r="B131" s="476">
        <v>93</v>
      </c>
      <c r="C131" s="477">
        <v>2</v>
      </c>
      <c r="D131" s="478" t="s">
        <v>40</v>
      </c>
      <c r="E131" s="477">
        <v>2</v>
      </c>
      <c r="F131" s="478" t="s">
        <v>39</v>
      </c>
    </row>
    <row r="132" spans="1:61" ht="51" hidden="1" x14ac:dyDescent="0.2">
      <c r="A132" s="476" t="s">
        <v>239</v>
      </c>
      <c r="B132" s="476" t="s">
        <v>144</v>
      </c>
      <c r="C132" s="476" t="s">
        <v>7</v>
      </c>
      <c r="D132" s="479" t="s">
        <v>273</v>
      </c>
      <c r="E132" s="476" t="s">
        <v>7</v>
      </c>
      <c r="F132" s="479" t="s">
        <v>273</v>
      </c>
    </row>
    <row r="133" spans="1:61" hidden="1" x14ac:dyDescent="0.2">
      <c r="A133" s="476">
        <v>1</v>
      </c>
      <c r="B133" s="476">
        <v>102</v>
      </c>
      <c r="C133" s="474"/>
    </row>
    <row r="134" spans="1:61" hidden="1" x14ac:dyDescent="0.2">
      <c r="A134" s="476" t="s">
        <v>239</v>
      </c>
      <c r="B134" s="476" t="s">
        <v>144</v>
      </c>
      <c r="C134" s="474"/>
    </row>
    <row r="135" spans="1:61" hidden="1" x14ac:dyDescent="0.2"/>
    <row r="136" spans="1:61" ht="38.25" hidden="1" customHeight="1" x14ac:dyDescent="0.2">
      <c r="B136" s="480" t="s">
        <v>495</v>
      </c>
      <c r="C136" s="480"/>
      <c r="D136" s="481">
        <f>SUM(S136:BH136)</f>
        <v>300</v>
      </c>
      <c r="T136" s="482">
        <v>90</v>
      </c>
      <c r="AE136" s="407">
        <v>90</v>
      </c>
      <c r="AQ136" s="407">
        <v>60</v>
      </c>
      <c r="BD136" s="407">
        <v>60</v>
      </c>
    </row>
    <row r="137" spans="1:61" hidden="1" x14ac:dyDescent="0.2"/>
    <row r="138" spans="1:61" hidden="1" x14ac:dyDescent="0.2"/>
    <row r="139" spans="1:61" hidden="1" x14ac:dyDescent="0.2"/>
    <row r="140" spans="1:61" ht="15.75" hidden="1" x14ac:dyDescent="0.2">
      <c r="B140" s="387" t="s">
        <v>493</v>
      </c>
      <c r="S140" s="483">
        <f>S97*3+Y97*3+(T97+Z97)*6</f>
        <v>4857</v>
      </c>
      <c r="AE140" s="483">
        <f>AE97*3+AK97*3+AK98*6+(AF97+AL97)*6</f>
        <v>4362</v>
      </c>
      <c r="AQ140" s="483">
        <f>AQ97*2+AW97*2+(AR97+AX97)*4+AQ98*4+AQ136</f>
        <v>1716</v>
      </c>
      <c r="AW140" s="483"/>
      <c r="BD140" s="483">
        <f>BC97*3+BI97*3+(BD97+BJ97)*6+BD136</f>
        <v>3606</v>
      </c>
      <c r="BI140" s="483"/>
    </row>
    <row r="141" spans="1:61" ht="15.75" hidden="1" x14ac:dyDescent="0.2">
      <c r="B141" s="387" t="s">
        <v>494</v>
      </c>
      <c r="S141" s="483">
        <f>S140/720</f>
        <v>6.74583333333333</v>
      </c>
      <c r="AE141" s="483">
        <f>AE140/720</f>
        <v>6.05833333333333</v>
      </c>
      <c r="AQ141" s="483">
        <f>AQ140/720</f>
        <v>2.3833333333333302</v>
      </c>
      <c r="AW141" s="483"/>
      <c r="BD141" s="483">
        <f>BD140/720</f>
        <v>5.0083333333333302</v>
      </c>
      <c r="BI141" s="483"/>
    </row>
    <row r="142" spans="1:61" ht="25.5" hidden="1" x14ac:dyDescent="0.2">
      <c r="B142" s="387" t="s">
        <v>491</v>
      </c>
      <c r="S142" s="386">
        <f>T136/S141</f>
        <v>13.341568869672599</v>
      </c>
      <c r="AE142" s="386">
        <f>AE136/AE141</f>
        <v>14.855570839064701</v>
      </c>
      <c r="AQ142" s="386">
        <f>AQ136/AQ141</f>
        <v>25.174825174825202</v>
      </c>
      <c r="AW142" s="483"/>
      <c r="BD142" s="386">
        <f>BD136/BD141</f>
        <v>11.9800332778702</v>
      </c>
      <c r="BI142" s="483"/>
    </row>
    <row r="143" spans="1:61" ht="15.75" hidden="1" x14ac:dyDescent="0.2">
      <c r="S143" s="483"/>
      <c r="AE143" s="483"/>
      <c r="AQ143" s="483"/>
      <c r="AW143" s="483"/>
      <c r="BD143" s="483"/>
      <c r="BI143" s="483"/>
    </row>
    <row r="144" spans="1:61" ht="15.75" hidden="1" x14ac:dyDescent="0.2">
      <c r="S144" s="483"/>
      <c r="AE144" s="483"/>
      <c r="AQ144" s="483"/>
      <c r="AW144" s="483"/>
      <c r="BD144" s="483"/>
      <c r="BI144" s="483"/>
    </row>
    <row r="145" spans="2:4" hidden="1" x14ac:dyDescent="0.2"/>
    <row r="146" spans="2:4" hidden="1" x14ac:dyDescent="0.2"/>
    <row r="147" spans="2:4" hidden="1" x14ac:dyDescent="0.2">
      <c r="B147" s="480" t="s">
        <v>489</v>
      </c>
      <c r="C147" s="480"/>
      <c r="D147" s="484">
        <f>SUM(S140,AE140,AQ140,BD140)</f>
        <v>14541</v>
      </c>
    </row>
    <row r="148" spans="2:4" hidden="1" x14ac:dyDescent="0.2">
      <c r="B148" s="480" t="s">
        <v>490</v>
      </c>
      <c r="C148" s="480"/>
      <c r="D148" s="484">
        <f>D147/720</f>
        <v>20.195833333333301</v>
      </c>
    </row>
    <row r="149" spans="2:4" hidden="1" x14ac:dyDescent="0.2">
      <c r="B149" s="480"/>
      <c r="C149" s="480"/>
      <c r="D149" s="485"/>
    </row>
    <row r="150" spans="2:4" ht="25.5" hidden="1" x14ac:dyDescent="0.2">
      <c r="B150" s="480" t="s">
        <v>491</v>
      </c>
      <c r="C150" s="480"/>
      <c r="D150" s="486">
        <f>D136/D148</f>
        <v>14.85</v>
      </c>
    </row>
    <row r="151" spans="2:4" hidden="1" x14ac:dyDescent="0.2"/>
  </sheetData>
  <sheetProtection password="CF70" sheet="1" objects="1" scenarios="1" selectLockedCells="1" sort="0" autoFilter="0" pivotTables="0" selectUnlockedCells="1"/>
  <autoFilter ref="A9:CE109"/>
  <dataConsolidate/>
  <mergeCells count="242">
    <mergeCell ref="AP106:AQ106"/>
    <mergeCell ref="AF107:AG107"/>
    <mergeCell ref="AH107:AI107"/>
    <mergeCell ref="B105:J105"/>
    <mergeCell ref="B104:J104"/>
    <mergeCell ref="B108:J108"/>
    <mergeCell ref="B106:J106"/>
    <mergeCell ref="AL107:AM107"/>
    <mergeCell ref="AN107:AO107"/>
    <mergeCell ref="K108:Q108"/>
    <mergeCell ref="R108:W108"/>
    <mergeCell ref="X108:AC108"/>
    <mergeCell ref="AD108:AI108"/>
    <mergeCell ref="K106:L106"/>
    <mergeCell ref="M106:O106"/>
    <mergeCell ref="P106:Q106"/>
    <mergeCell ref="R106:S106"/>
    <mergeCell ref="T106:U106"/>
    <mergeCell ref="V106:W106"/>
    <mergeCell ref="X106:Y106"/>
    <mergeCell ref="AF106:AG106"/>
    <mergeCell ref="AH106:AI106"/>
    <mergeCell ref="AJ106:AK106"/>
    <mergeCell ref="AL106:AM106"/>
    <mergeCell ref="AN106:AO106"/>
    <mergeCell ref="Z106:AA106"/>
    <mergeCell ref="AB106:AC106"/>
    <mergeCell ref="A112:B112"/>
    <mergeCell ref="C112:D112"/>
    <mergeCell ref="E112:F112"/>
    <mergeCell ref="K109:Q109"/>
    <mergeCell ref="R109:W109"/>
    <mergeCell ref="X109:AC109"/>
    <mergeCell ref="AD106:AE106"/>
    <mergeCell ref="T107:U107"/>
    <mergeCell ref="V107:W107"/>
    <mergeCell ref="X107:Y107"/>
    <mergeCell ref="Z107:AA107"/>
    <mergeCell ref="AB107:AC107"/>
    <mergeCell ref="AD107:AE107"/>
    <mergeCell ref="AD109:AI109"/>
    <mergeCell ref="AR107:AS107"/>
    <mergeCell ref="AT107:AU107"/>
    <mergeCell ref="AZ107:BA107"/>
    <mergeCell ref="BH109:BM109"/>
    <mergeCell ref="BN109:BU109"/>
    <mergeCell ref="BH108:BM108"/>
    <mergeCell ref="BN108:BU108"/>
    <mergeCell ref="AJ109:AO109"/>
    <mergeCell ref="AV109:BA109"/>
    <mergeCell ref="BB109:BG109"/>
    <mergeCell ref="AJ108:AO108"/>
    <mergeCell ref="AP108:AU108"/>
    <mergeCell ref="AP109:AU109"/>
    <mergeCell ref="AV108:BA108"/>
    <mergeCell ref="BB108:BG108"/>
    <mergeCell ref="BV108:CC108"/>
    <mergeCell ref="B109:J109"/>
    <mergeCell ref="BQ107:BR107"/>
    <mergeCell ref="BS107:BU107"/>
    <mergeCell ref="B107:J107"/>
    <mergeCell ref="K107:L107"/>
    <mergeCell ref="M107:O107"/>
    <mergeCell ref="P107:Q107"/>
    <mergeCell ref="R107:S107"/>
    <mergeCell ref="BV109:CC109"/>
    <mergeCell ref="CA107:CC107"/>
    <mergeCell ref="BV107:BX107"/>
    <mergeCell ref="BY107:BZ107"/>
    <mergeCell ref="BB107:BC107"/>
    <mergeCell ref="BD107:BE107"/>
    <mergeCell ref="BF107:BG107"/>
    <mergeCell ref="BH107:BI107"/>
    <mergeCell ref="BJ107:BK107"/>
    <mergeCell ref="BL107:BM107"/>
    <mergeCell ref="BN107:BP107"/>
    <mergeCell ref="AJ107:AK107"/>
    <mergeCell ref="AV107:AW107"/>
    <mergeCell ref="AX107:AY107"/>
    <mergeCell ref="AP107:AQ107"/>
    <mergeCell ref="BH106:BI106"/>
    <mergeCell ref="BL106:BM106"/>
    <mergeCell ref="BN106:BP106"/>
    <mergeCell ref="BQ106:BR106"/>
    <mergeCell ref="BS106:BU106"/>
    <mergeCell ref="CA106:CC106"/>
    <mergeCell ref="AR106:AS106"/>
    <mergeCell ref="AT106:AU106"/>
    <mergeCell ref="BV106:BX106"/>
    <mergeCell ref="BY106:BZ106"/>
    <mergeCell ref="AZ106:BA106"/>
    <mergeCell ref="BB106:BC106"/>
    <mergeCell ref="BD106:BE106"/>
    <mergeCell ref="BJ106:BK106"/>
    <mergeCell ref="AV106:AW106"/>
    <mergeCell ref="AX106:AY106"/>
    <mergeCell ref="BF106:BG106"/>
    <mergeCell ref="BH105:BM105"/>
    <mergeCell ref="BN105:BU105"/>
    <mergeCell ref="AV104:BA104"/>
    <mergeCell ref="BB104:BG104"/>
    <mergeCell ref="BV103:CC103"/>
    <mergeCell ref="K104:Q104"/>
    <mergeCell ref="R104:W104"/>
    <mergeCell ref="X104:AC104"/>
    <mergeCell ref="AD104:AI104"/>
    <mergeCell ref="AJ104:AO104"/>
    <mergeCell ref="AP104:AU104"/>
    <mergeCell ref="BH104:BM104"/>
    <mergeCell ref="BN104:BU104"/>
    <mergeCell ref="BV104:CC104"/>
    <mergeCell ref="BV105:CC105"/>
    <mergeCell ref="AJ105:AO105"/>
    <mergeCell ref="AP105:AU105"/>
    <mergeCell ref="AV105:BA105"/>
    <mergeCell ref="BB105:BG105"/>
    <mergeCell ref="K105:Q105"/>
    <mergeCell ref="R105:W105"/>
    <mergeCell ref="X105:AC105"/>
    <mergeCell ref="AD105:AI105"/>
    <mergeCell ref="BV102:CC102"/>
    <mergeCell ref="B103:J103"/>
    <mergeCell ref="K103:Q103"/>
    <mergeCell ref="R103:W103"/>
    <mergeCell ref="X103:AC103"/>
    <mergeCell ref="AD103:AI103"/>
    <mergeCell ref="AJ103:AO103"/>
    <mergeCell ref="AP103:AU103"/>
    <mergeCell ref="AV103:BA103"/>
    <mergeCell ref="BB103:BG103"/>
    <mergeCell ref="X102:AC102"/>
    <mergeCell ref="AD102:AI102"/>
    <mergeCell ref="AJ102:AO102"/>
    <mergeCell ref="AP102:AU102"/>
    <mergeCell ref="AV102:BA102"/>
    <mergeCell ref="BB102:BG102"/>
    <mergeCell ref="BH103:BM103"/>
    <mergeCell ref="BN103:BU103"/>
    <mergeCell ref="A2:A8"/>
    <mergeCell ref="I2:J7"/>
    <mergeCell ref="K2:Q2"/>
    <mergeCell ref="BH102:BM102"/>
    <mergeCell ref="BN102:BU102"/>
    <mergeCell ref="B101:H101"/>
    <mergeCell ref="B102:J102"/>
    <mergeCell ref="K102:Q102"/>
    <mergeCell ref="R102:W102"/>
    <mergeCell ref="B100:H100"/>
    <mergeCell ref="B38:C38"/>
    <mergeCell ref="B80:C80"/>
    <mergeCell ref="B87:C87"/>
    <mergeCell ref="B90:C90"/>
    <mergeCell ref="A95:C95"/>
    <mergeCell ref="A96:C96"/>
    <mergeCell ref="B97:H97"/>
    <mergeCell ref="B98:H98"/>
    <mergeCell ref="E85:E86"/>
    <mergeCell ref="BO6:BP6"/>
    <mergeCell ref="AV5:AW5"/>
    <mergeCell ref="Q4:Q8"/>
    <mergeCell ref="B49:H49"/>
    <mergeCell ref="B99:H99"/>
    <mergeCell ref="B10:H10"/>
    <mergeCell ref="B2:B8"/>
    <mergeCell ref="C2:C8"/>
    <mergeCell ref="D2:H3"/>
    <mergeCell ref="AD3:AO3"/>
    <mergeCell ref="B37:C37"/>
    <mergeCell ref="K3:K8"/>
    <mergeCell ref="L4:L8"/>
    <mergeCell ref="M4:P4"/>
    <mergeCell ref="S2:CC2"/>
    <mergeCell ref="BV5:BX5"/>
    <mergeCell ref="AD5:AE5"/>
    <mergeCell ref="AJ5:AK5"/>
    <mergeCell ref="CA4:CB4"/>
    <mergeCell ref="BB4:BC4"/>
    <mergeCell ref="BH4:BI4"/>
    <mergeCell ref="BS5:BT5"/>
    <mergeCell ref="AV4:AW4"/>
    <mergeCell ref="BS4:BT4"/>
    <mergeCell ref="BV4:BX4"/>
    <mergeCell ref="R5:S5"/>
    <mergeCell ref="T5:V5"/>
    <mergeCell ref="X5:Y5"/>
    <mergeCell ref="BB3:BM3"/>
    <mergeCell ref="B48:H48"/>
    <mergeCell ref="B59:H59"/>
    <mergeCell ref="B60:H60"/>
    <mergeCell ref="B70:H70"/>
    <mergeCell ref="B47:H47"/>
    <mergeCell ref="B65:H65"/>
    <mergeCell ref="B66:H66"/>
    <mergeCell ref="B27:H27"/>
    <mergeCell ref="B11:C11"/>
    <mergeCell ref="B33:H33"/>
    <mergeCell ref="B28:H28"/>
    <mergeCell ref="B19:H19"/>
    <mergeCell ref="CD2:CD8"/>
    <mergeCell ref="CE2:CE8"/>
    <mergeCell ref="BN3:CC3"/>
    <mergeCell ref="D4:D8"/>
    <mergeCell ref="E4:E8"/>
    <mergeCell ref="G4:G8"/>
    <mergeCell ref="H4:H8"/>
    <mergeCell ref="BW6:BX6"/>
    <mergeCell ref="AD4:AE4"/>
    <mergeCell ref="BH5:BI5"/>
    <mergeCell ref="AP5:AQ5"/>
    <mergeCell ref="BN4:BP4"/>
    <mergeCell ref="L3:Q3"/>
    <mergeCell ref="O5:O8"/>
    <mergeCell ref="N5:N8"/>
    <mergeCell ref="M5:M8"/>
    <mergeCell ref="X4:Y4"/>
    <mergeCell ref="P5:P8"/>
    <mergeCell ref="BN5:BP5"/>
    <mergeCell ref="CA5:CB5"/>
    <mergeCell ref="AP3:BA3"/>
    <mergeCell ref="BW7:CA7"/>
    <mergeCell ref="R3:AC3"/>
    <mergeCell ref="AP4:AQ4"/>
    <mergeCell ref="R4:S4"/>
    <mergeCell ref="AJ6:AK6"/>
    <mergeCell ref="AJ7:AL7"/>
    <mergeCell ref="AD6:AE6"/>
    <mergeCell ref="AD7:AF7"/>
    <mergeCell ref="X6:Y6"/>
    <mergeCell ref="X7:Z7"/>
    <mergeCell ref="R6:S6"/>
    <mergeCell ref="R7:T7"/>
    <mergeCell ref="AJ4:AK4"/>
    <mergeCell ref="BB5:BC5"/>
    <mergeCell ref="BO7:BQ7"/>
    <mergeCell ref="BH6:BI6"/>
    <mergeCell ref="BH7:BJ7"/>
    <mergeCell ref="BB6:BC6"/>
    <mergeCell ref="BB7:BD7"/>
    <mergeCell ref="AV6:AW6"/>
    <mergeCell ref="AV7:AX7"/>
    <mergeCell ref="AP6:AQ6"/>
    <mergeCell ref="AP7:AR7"/>
  </mergeCells>
  <phoneticPr fontId="9" type="noConversion"/>
  <conditionalFormatting sqref="CD34:CD36 CD29:CD32 CD91:CD92 CD20:CD26 CD85:CD86 CD81:CD83 CD71:CD73 CD88:CD89 CD67:CD69 CD39:CD46 CD12:CD18 CD75:CD79 CD50:CD58 CD61:CD64">
    <cfRule type="expression" dxfId="152" priority="215" stopIfTrue="1">
      <formula>AND(K12&gt;0,CD12=0)</formula>
    </cfRule>
    <cfRule type="expression" dxfId="151" priority="216" stopIfTrue="1">
      <formula>AND(K12=0,CD12&lt;&gt;0)</formula>
    </cfRule>
  </conditionalFormatting>
  <conditionalFormatting sqref="CD20:CD26">
    <cfRule type="expression" dxfId="150" priority="213" stopIfTrue="1">
      <formula>AND(K20&gt;0,CD20=0)</formula>
    </cfRule>
    <cfRule type="expression" dxfId="149" priority="214" stopIfTrue="1">
      <formula>AND(K20=0,CD20&lt;&gt;0)</formula>
    </cfRule>
  </conditionalFormatting>
  <conditionalFormatting sqref="CD20:CD26">
    <cfRule type="expression" dxfId="148" priority="211" stopIfTrue="1">
      <formula>AND(K20&gt;0,CD20=0)</formula>
    </cfRule>
    <cfRule type="expression" dxfId="147" priority="212" stopIfTrue="1">
      <formula>AND(K20=0,CD20&lt;&gt;0)</formula>
    </cfRule>
  </conditionalFormatting>
  <conditionalFormatting sqref="CD29:CD32">
    <cfRule type="expression" dxfId="146" priority="209" stopIfTrue="1">
      <formula>AND(K29&gt;0,CD29=0)</formula>
    </cfRule>
    <cfRule type="expression" dxfId="145" priority="210" stopIfTrue="1">
      <formula>AND(K29=0,CD29&lt;&gt;0)</formula>
    </cfRule>
  </conditionalFormatting>
  <conditionalFormatting sqref="CD34:CD36">
    <cfRule type="expression" dxfId="144" priority="207" stopIfTrue="1">
      <formula>AND(K34&gt;0,CD34=0)</formula>
    </cfRule>
    <cfRule type="expression" dxfId="143" priority="208" stopIfTrue="1">
      <formula>AND(K34=0,CD34&lt;&gt;0)</formula>
    </cfRule>
  </conditionalFormatting>
  <conditionalFormatting sqref="CD81">
    <cfRule type="expression" dxfId="142" priority="201" stopIfTrue="1">
      <formula>AND(K81&gt;0,CD81=0)</formula>
    </cfRule>
    <cfRule type="expression" dxfId="141" priority="202" stopIfTrue="1">
      <formula>AND(K81=0,CD81&lt;&gt;0)</formula>
    </cfRule>
  </conditionalFormatting>
  <conditionalFormatting sqref="CD83">
    <cfRule type="expression" dxfId="140" priority="197" stopIfTrue="1">
      <formula>AND(K83&gt;0,CD83=0)</formula>
    </cfRule>
    <cfRule type="expression" dxfId="139" priority="198" stopIfTrue="1">
      <formula>AND(K83=0,CD83&lt;&gt;0)</formula>
    </cfRule>
  </conditionalFormatting>
  <conditionalFormatting sqref="CD81">
    <cfRule type="expression" dxfId="138" priority="179" stopIfTrue="1">
      <formula>AND(K81&gt;0,CD81=0)</formula>
    </cfRule>
    <cfRule type="expression" dxfId="137" priority="180" stopIfTrue="1">
      <formula>AND(K81=0,CD81&lt;&gt;0)</formula>
    </cfRule>
  </conditionalFormatting>
  <conditionalFormatting sqref="CD83">
    <cfRule type="expression" dxfId="136" priority="175" stopIfTrue="1">
      <formula>AND(K83&gt;0,CD83=0)</formula>
    </cfRule>
    <cfRule type="expression" dxfId="135" priority="176" stopIfTrue="1">
      <formula>AND(K83=0,CD83&lt;&gt;0)</formula>
    </cfRule>
  </conditionalFormatting>
  <conditionalFormatting sqref="CD85">
    <cfRule type="expression" dxfId="134" priority="173" stopIfTrue="1">
      <formula>AND(K85&gt;0,CD85=0)</formula>
    </cfRule>
    <cfRule type="expression" dxfId="133" priority="174" stopIfTrue="1">
      <formula>AND(K85=0,CD85&lt;&gt;0)</formula>
    </cfRule>
  </conditionalFormatting>
  <conditionalFormatting sqref="CD86">
    <cfRule type="expression" dxfId="132" priority="171" stopIfTrue="1">
      <formula>AND(K86&gt;0,CD86=0)</formula>
    </cfRule>
    <cfRule type="expression" dxfId="131" priority="172" stopIfTrue="1">
      <formula>AND(K86=0,CD86&lt;&gt;0)</formula>
    </cfRule>
  </conditionalFormatting>
  <conditionalFormatting sqref="CD32">
    <cfRule type="expression" dxfId="130" priority="139" stopIfTrue="1">
      <formula>AND(K32&gt;0,CD32=0)</formula>
    </cfRule>
    <cfRule type="expression" dxfId="129" priority="140" stopIfTrue="1">
      <formula>AND(K32=0,CD32&lt;&gt;0)</formula>
    </cfRule>
  </conditionalFormatting>
  <conditionalFormatting sqref="CD84">
    <cfRule type="expression" dxfId="128" priority="133" stopIfTrue="1">
      <formula>AND(K84&gt;0,CD84=0)</formula>
    </cfRule>
    <cfRule type="expression" dxfId="127" priority="134" stopIfTrue="1">
      <formula>AND(K84=0,CD84&lt;&gt;0)</formula>
    </cfRule>
  </conditionalFormatting>
  <conditionalFormatting sqref="CD84">
    <cfRule type="expression" dxfId="126" priority="131" stopIfTrue="1">
      <formula>AND(K84&gt;0,CD84=0)</formula>
    </cfRule>
    <cfRule type="expression" dxfId="125" priority="132" stopIfTrue="1">
      <formula>AND(K84=0,CD84&lt;&gt;0)</formula>
    </cfRule>
  </conditionalFormatting>
  <conditionalFormatting sqref="CD63">
    <cfRule type="expression" dxfId="124" priority="129" stopIfTrue="1">
      <formula>AND(K63&gt;0,CD63=0)</formula>
    </cfRule>
    <cfRule type="expression" dxfId="123" priority="130" stopIfTrue="1">
      <formula>AND(K63=0,CD63&lt;&gt;0)</formula>
    </cfRule>
  </conditionalFormatting>
  <conditionalFormatting sqref="CD63">
    <cfRule type="expression" dxfId="122" priority="127" stopIfTrue="1">
      <formula>AND(K63&gt;0,CD63=0)</formula>
    </cfRule>
    <cfRule type="expression" dxfId="121" priority="128" stopIfTrue="1">
      <formula>AND(K63=0,CD63&lt;&gt;0)</formula>
    </cfRule>
  </conditionalFormatting>
  <conditionalFormatting sqref="CD20:CD26">
    <cfRule type="expression" dxfId="120" priority="113" stopIfTrue="1">
      <formula>AND(K20&gt;0,CD20=0)</formula>
    </cfRule>
    <cfRule type="expression" dxfId="119" priority="114" stopIfTrue="1">
      <formula>AND(K20=0,CD20&lt;&gt;0)</formula>
    </cfRule>
  </conditionalFormatting>
  <conditionalFormatting sqref="CD20:CD26">
    <cfRule type="expression" dxfId="118" priority="111" stopIfTrue="1">
      <formula>AND(K20&gt;0,CD20=0)</formula>
    </cfRule>
    <cfRule type="expression" dxfId="117" priority="112" stopIfTrue="1">
      <formula>AND(K20=0,CD20&lt;&gt;0)</formula>
    </cfRule>
  </conditionalFormatting>
  <conditionalFormatting sqref="CD20:CD26">
    <cfRule type="expression" dxfId="116" priority="109" stopIfTrue="1">
      <formula>AND(K20&gt;0,CD20=0)</formula>
    </cfRule>
    <cfRule type="expression" dxfId="115" priority="110" stopIfTrue="1">
      <formula>AND(K20=0,CD20&lt;&gt;0)</formula>
    </cfRule>
  </conditionalFormatting>
  <conditionalFormatting sqref="CD20:CD24">
    <cfRule type="expression" dxfId="114" priority="107" stopIfTrue="1">
      <formula>AND(K20&gt;0,CD20=0)</formula>
    </cfRule>
    <cfRule type="expression" dxfId="113" priority="108" stopIfTrue="1">
      <formula>AND(K20=0,CD20&lt;&gt;0)</formula>
    </cfRule>
  </conditionalFormatting>
  <conditionalFormatting sqref="CD20:CD24">
    <cfRule type="expression" dxfId="112" priority="105" stopIfTrue="1">
      <formula>AND(K20&gt;0,CD20=0)</formula>
    </cfRule>
    <cfRule type="expression" dxfId="111" priority="106" stopIfTrue="1">
      <formula>AND(K20=0,CD20&lt;&gt;0)</formula>
    </cfRule>
  </conditionalFormatting>
  <conditionalFormatting sqref="CD25">
    <cfRule type="expression" dxfId="110" priority="103" stopIfTrue="1">
      <formula>AND(K25&gt;0,CD25=0)</formula>
    </cfRule>
    <cfRule type="expression" dxfId="109" priority="104" stopIfTrue="1">
      <formula>AND(K25=0,CD25&lt;&gt;0)</formula>
    </cfRule>
  </conditionalFormatting>
  <conditionalFormatting sqref="CD25">
    <cfRule type="expression" dxfId="108" priority="101" stopIfTrue="1">
      <formula>AND(K25&gt;0,CD25=0)</formula>
    </cfRule>
    <cfRule type="expression" dxfId="107" priority="102" stopIfTrue="1">
      <formula>AND(K25=0,CD25&lt;&gt;0)</formula>
    </cfRule>
  </conditionalFormatting>
  <conditionalFormatting sqref="CD26">
    <cfRule type="expression" dxfId="106" priority="99" stopIfTrue="1">
      <formula>AND(K26&gt;0,CD26=0)</formula>
    </cfRule>
    <cfRule type="expression" dxfId="105" priority="100" stopIfTrue="1">
      <formula>AND(K26=0,CD26&lt;&gt;0)</formula>
    </cfRule>
  </conditionalFormatting>
  <conditionalFormatting sqref="CD26">
    <cfRule type="expression" dxfId="104" priority="97" stopIfTrue="1">
      <formula>AND(K26&gt;0,CD26=0)</formula>
    </cfRule>
    <cfRule type="expression" dxfId="103" priority="98" stopIfTrue="1">
      <formula>AND(K26=0,CD26&lt;&gt;0)</formula>
    </cfRule>
  </conditionalFormatting>
  <conditionalFormatting sqref="CD29:CD32">
    <cfRule type="expression" dxfId="102" priority="95" stopIfTrue="1">
      <formula>AND(K29&gt;0,CD29=0)</formula>
    </cfRule>
    <cfRule type="expression" dxfId="101" priority="96" stopIfTrue="1">
      <formula>AND(K29=0,CD29&lt;&gt;0)</formula>
    </cfRule>
  </conditionalFormatting>
  <conditionalFormatting sqref="CD29:CD32">
    <cfRule type="expression" dxfId="100" priority="93" stopIfTrue="1">
      <formula>AND(K29&gt;0,CD29=0)</formula>
    </cfRule>
    <cfRule type="expression" dxfId="99" priority="94" stopIfTrue="1">
      <formula>AND(K29=0,CD29&lt;&gt;0)</formula>
    </cfRule>
  </conditionalFormatting>
  <conditionalFormatting sqref="CD32">
    <cfRule type="expression" dxfId="98" priority="91" stopIfTrue="1">
      <formula>AND(K32&gt;0,CD32=0)</formula>
    </cfRule>
    <cfRule type="expression" dxfId="97" priority="92" stopIfTrue="1">
      <formula>AND(K32=0,CD32&lt;&gt;0)</formula>
    </cfRule>
  </conditionalFormatting>
  <conditionalFormatting sqref="CD34:CD36">
    <cfRule type="expression" dxfId="96" priority="89" stopIfTrue="1">
      <formula>AND(K34&gt;0,CD34=0)</formula>
    </cfRule>
    <cfRule type="expression" dxfId="95" priority="90" stopIfTrue="1">
      <formula>AND(K34=0,CD34&lt;&gt;0)</formula>
    </cfRule>
  </conditionalFormatting>
  <conditionalFormatting sqref="CD34:CD36">
    <cfRule type="expression" dxfId="94" priority="87" stopIfTrue="1">
      <formula>AND(K34&gt;0,CD34=0)</formula>
    </cfRule>
    <cfRule type="expression" dxfId="93" priority="88" stopIfTrue="1">
      <formula>AND(K34=0,CD34&lt;&gt;0)</formula>
    </cfRule>
  </conditionalFormatting>
  <conditionalFormatting sqref="CD39:CD46">
    <cfRule type="expression" dxfId="92" priority="85" stopIfTrue="1">
      <formula>AND(K39&gt;0,CD39=0)</formula>
    </cfRule>
    <cfRule type="expression" dxfId="91" priority="86" stopIfTrue="1">
      <formula>AND(K39=0,CD39&lt;&gt;0)</formula>
    </cfRule>
  </conditionalFormatting>
  <conditionalFormatting sqref="CD50:CD57">
    <cfRule type="expression" dxfId="90" priority="83" stopIfTrue="1">
      <formula>AND(K50&gt;0,CD50=0)</formula>
    </cfRule>
    <cfRule type="expression" dxfId="89" priority="84" stopIfTrue="1">
      <formula>AND(K50=0,CD50&lt;&gt;0)</formula>
    </cfRule>
  </conditionalFormatting>
  <conditionalFormatting sqref="CD63">
    <cfRule type="expression" dxfId="88" priority="79" stopIfTrue="1">
      <formula>AND(K63&gt;0,CD63=0)</formula>
    </cfRule>
    <cfRule type="expression" dxfId="87" priority="80" stopIfTrue="1">
      <formula>AND(K63=0,CD63&lt;&gt;0)</formula>
    </cfRule>
  </conditionalFormatting>
  <conditionalFormatting sqref="CD63">
    <cfRule type="expression" dxfId="86" priority="77" stopIfTrue="1">
      <formula>AND(K63&gt;0,CD63=0)</formula>
    </cfRule>
    <cfRule type="expression" dxfId="85" priority="78" stopIfTrue="1">
      <formula>AND(K63=0,CD63&lt;&gt;0)</formula>
    </cfRule>
  </conditionalFormatting>
  <conditionalFormatting sqref="CD67:CD68">
    <cfRule type="expression" dxfId="84" priority="75" stopIfTrue="1">
      <formula>AND(K67&gt;0,CD67=0)</formula>
    </cfRule>
    <cfRule type="expression" dxfId="83" priority="76" stopIfTrue="1">
      <formula>AND(K67=0,CD67&lt;&gt;0)</formula>
    </cfRule>
  </conditionalFormatting>
  <conditionalFormatting sqref="CD71:CD72">
    <cfRule type="expression" dxfId="82" priority="73" stopIfTrue="1">
      <formula>AND(K71&gt;0,CD71=0)</formula>
    </cfRule>
    <cfRule type="expression" dxfId="81" priority="74" stopIfTrue="1">
      <formula>AND(K71=0,CD71&lt;&gt;0)</formula>
    </cfRule>
  </conditionalFormatting>
  <conditionalFormatting sqref="CD81:CD83">
    <cfRule type="expression" dxfId="80" priority="69" stopIfTrue="1">
      <formula>AND(K81&gt;0,CD81=0)</formula>
    </cfRule>
    <cfRule type="expression" dxfId="79" priority="70" stopIfTrue="1">
      <formula>AND(K81=0,CD81&lt;&gt;0)</formula>
    </cfRule>
  </conditionalFormatting>
  <conditionalFormatting sqref="CD81">
    <cfRule type="expression" dxfId="78" priority="67" stopIfTrue="1">
      <formula>AND(K81&gt;0,CD81=0)</formula>
    </cfRule>
    <cfRule type="expression" dxfId="77" priority="68" stopIfTrue="1">
      <formula>AND(K81=0,CD81&lt;&gt;0)</formula>
    </cfRule>
  </conditionalFormatting>
  <conditionalFormatting sqref="CD83">
    <cfRule type="expression" dxfId="76" priority="65" stopIfTrue="1">
      <formula>AND(K83&gt;0,CD83=0)</formula>
    </cfRule>
    <cfRule type="expression" dxfId="75" priority="66" stopIfTrue="1">
      <formula>AND(K83=0,CD83&lt;&gt;0)</formula>
    </cfRule>
  </conditionalFormatting>
  <conditionalFormatting sqref="CD81">
    <cfRule type="expression" dxfId="74" priority="63" stopIfTrue="1">
      <formula>AND(K81&gt;0,CD81=0)</formula>
    </cfRule>
    <cfRule type="expression" dxfId="73" priority="64" stopIfTrue="1">
      <formula>AND(K81=0,CD81&lt;&gt;0)</formula>
    </cfRule>
  </conditionalFormatting>
  <conditionalFormatting sqref="CD83">
    <cfRule type="expression" dxfId="72" priority="61" stopIfTrue="1">
      <formula>AND(K83&gt;0,CD83=0)</formula>
    </cfRule>
    <cfRule type="expression" dxfId="71" priority="62" stopIfTrue="1">
      <formula>AND(K83=0,CD83&lt;&gt;0)</formula>
    </cfRule>
  </conditionalFormatting>
  <conditionalFormatting sqref="CD84">
    <cfRule type="expression" dxfId="70" priority="59" stopIfTrue="1">
      <formula>AND(K84&gt;0,CD84=0)</formula>
    </cfRule>
    <cfRule type="expression" dxfId="69" priority="60" stopIfTrue="1">
      <formula>AND(K84=0,CD84&lt;&gt;0)</formula>
    </cfRule>
  </conditionalFormatting>
  <conditionalFormatting sqref="CD84">
    <cfRule type="expression" dxfId="68" priority="57" stopIfTrue="1">
      <formula>AND(K84&gt;0,CD84=0)</formula>
    </cfRule>
    <cfRule type="expression" dxfId="67" priority="58" stopIfTrue="1">
      <formula>AND(K84=0,CD84&lt;&gt;0)</formula>
    </cfRule>
  </conditionalFormatting>
  <conditionalFormatting sqref="CD88:CD89">
    <cfRule type="expression" dxfId="66" priority="55" stopIfTrue="1">
      <formula>AND(K88&gt;0,CD88=0)</formula>
    </cfRule>
    <cfRule type="expression" dxfId="65" priority="56" stopIfTrue="1">
      <formula>AND(K88=0,CD88&lt;&gt;0)</formula>
    </cfRule>
  </conditionalFormatting>
  <conditionalFormatting sqref="CD91:CD92">
    <cfRule type="expression" dxfId="64" priority="53" stopIfTrue="1">
      <formula>AND(K91&gt;0,CD91=0)</formula>
    </cfRule>
    <cfRule type="expression" dxfId="63" priority="54" stopIfTrue="1">
      <formula>AND(K91=0,CD91&lt;&gt;0)</formula>
    </cfRule>
  </conditionalFormatting>
  <conditionalFormatting sqref="CD14">
    <cfRule type="expression" dxfId="62" priority="39" stopIfTrue="1">
      <formula>AND(K14&gt;0,CD14=0)</formula>
    </cfRule>
    <cfRule type="expression" dxfId="61" priority="40" stopIfTrue="1">
      <formula>AND(K14=0,CD14&lt;&gt;0)</formula>
    </cfRule>
  </conditionalFormatting>
  <conditionalFormatting sqref="CD12:CD17">
    <cfRule type="expression" dxfId="60" priority="51" stopIfTrue="1">
      <formula>AND(K12&gt;0,CD12=0)</formula>
    </cfRule>
    <cfRule type="expression" dxfId="59" priority="52" stopIfTrue="1">
      <formula>AND(K12=0,CD12&lt;&gt;0)</formula>
    </cfRule>
  </conditionalFormatting>
  <conditionalFormatting sqref="CD14">
    <cfRule type="expression" dxfId="58" priority="49" stopIfTrue="1">
      <formula>AND(K14&gt;0,CD14=0)</formula>
    </cfRule>
    <cfRule type="expression" dxfId="57" priority="50" stopIfTrue="1">
      <formula>AND(K14=0,CD14&lt;&gt;0)</formula>
    </cfRule>
  </conditionalFormatting>
  <conditionalFormatting sqref="CD14">
    <cfRule type="expression" dxfId="56" priority="47" stopIfTrue="1">
      <formula>AND(K14&gt;0,CD14=0)</formula>
    </cfRule>
    <cfRule type="expression" dxfId="55" priority="48" stopIfTrue="1">
      <formula>AND(K14=0,CD14&lt;&gt;0)</formula>
    </cfRule>
  </conditionalFormatting>
  <conditionalFormatting sqref="CD14">
    <cfRule type="expression" dxfId="54" priority="45" stopIfTrue="1">
      <formula>AND(K14&gt;0,CD14=0)</formula>
    </cfRule>
    <cfRule type="expression" dxfId="53" priority="46" stopIfTrue="1">
      <formula>AND(K14=0,CD14&lt;&gt;0)</formula>
    </cfRule>
  </conditionalFormatting>
  <conditionalFormatting sqref="CD14">
    <cfRule type="expression" dxfId="52" priority="43" stopIfTrue="1">
      <formula>AND(K14&gt;0,CD14=0)</formula>
    </cfRule>
    <cfRule type="expression" dxfId="51" priority="44" stopIfTrue="1">
      <formula>AND(K14=0,CD14&lt;&gt;0)</formula>
    </cfRule>
  </conditionalFormatting>
  <conditionalFormatting sqref="CD14">
    <cfRule type="expression" dxfId="50" priority="41" stopIfTrue="1">
      <formula>AND(K14&gt;0,CD14=0)</formula>
    </cfRule>
    <cfRule type="expression" dxfId="49" priority="42" stopIfTrue="1">
      <formula>AND(K14=0,CD14&lt;&gt;0)</formula>
    </cfRule>
  </conditionalFormatting>
  <conditionalFormatting sqref="CD20:CD26">
    <cfRule type="expression" dxfId="48" priority="37" stopIfTrue="1">
      <formula>AND(K20&gt;0,CD20=0)</formula>
    </cfRule>
    <cfRule type="expression" dxfId="47" priority="38" stopIfTrue="1">
      <formula>AND(K20=0,CD20&lt;&gt;0)</formula>
    </cfRule>
  </conditionalFormatting>
  <conditionalFormatting sqref="CD20:CD26">
    <cfRule type="expression" dxfId="46" priority="35" stopIfTrue="1">
      <formula>AND(K20&gt;0,CD20=0)</formula>
    </cfRule>
    <cfRule type="expression" dxfId="45" priority="36" stopIfTrue="1">
      <formula>AND(K20=0,CD20&lt;&gt;0)</formula>
    </cfRule>
  </conditionalFormatting>
  <conditionalFormatting sqref="CD20:CD26">
    <cfRule type="expression" dxfId="44" priority="33" stopIfTrue="1">
      <formula>AND(K20&gt;0,CD20=0)</formula>
    </cfRule>
    <cfRule type="expression" dxfId="43" priority="34" stopIfTrue="1">
      <formula>AND(K20=0,CD20&lt;&gt;0)</formula>
    </cfRule>
  </conditionalFormatting>
  <conditionalFormatting sqref="CD20:CD26">
    <cfRule type="expression" dxfId="42" priority="31" stopIfTrue="1">
      <formula>AND(K20&gt;0,CD20=0)</formula>
    </cfRule>
    <cfRule type="expression" dxfId="41" priority="32" stopIfTrue="1">
      <formula>AND(K20=0,CD20&lt;&gt;0)</formula>
    </cfRule>
  </conditionalFormatting>
  <conditionalFormatting sqref="CD20:CD26">
    <cfRule type="expression" dxfId="40" priority="29" stopIfTrue="1">
      <formula>AND(K20&gt;0,CD20=0)</formula>
    </cfRule>
    <cfRule type="expression" dxfId="39" priority="30" stopIfTrue="1">
      <formula>AND(K20=0,CD20&lt;&gt;0)</formula>
    </cfRule>
  </conditionalFormatting>
  <conditionalFormatting sqref="CD20:CD26">
    <cfRule type="expression" dxfId="38" priority="27" stopIfTrue="1">
      <formula>AND(K20&gt;0,CD20=0)</formula>
    </cfRule>
    <cfRule type="expression" dxfId="37" priority="28" stopIfTrue="1">
      <formula>AND(K20=0,CD20&lt;&gt;0)</formula>
    </cfRule>
  </conditionalFormatting>
  <conditionalFormatting sqref="CD20:CD26">
    <cfRule type="expression" dxfId="36" priority="25" stopIfTrue="1">
      <formula>AND(K20&gt;0,CD20=0)</formula>
    </cfRule>
    <cfRule type="expression" dxfId="35" priority="26" stopIfTrue="1">
      <formula>AND(K20=0,CD20&lt;&gt;0)</formula>
    </cfRule>
  </conditionalFormatting>
  <conditionalFormatting sqref="CD20:CD26">
    <cfRule type="expression" dxfId="34" priority="23" stopIfTrue="1">
      <formula>AND(K20&gt;0,CD20=0)</formula>
    </cfRule>
    <cfRule type="expression" dxfId="33" priority="24" stopIfTrue="1">
      <formula>AND(K20=0,CD20&lt;&gt;0)</formula>
    </cfRule>
  </conditionalFormatting>
  <conditionalFormatting sqref="CD20">
    <cfRule type="expression" dxfId="32" priority="21" stopIfTrue="1">
      <formula>AND(K20&gt;0,CD20=0)</formula>
    </cfRule>
    <cfRule type="expression" dxfId="31" priority="22" stopIfTrue="1">
      <formula>AND(K20=0,CD20&lt;&gt;0)</formula>
    </cfRule>
  </conditionalFormatting>
  <conditionalFormatting sqref="CD20">
    <cfRule type="expression" dxfId="30" priority="19" stopIfTrue="1">
      <formula>AND(K20&gt;0,CD20=0)</formula>
    </cfRule>
    <cfRule type="expression" dxfId="29" priority="20" stopIfTrue="1">
      <formula>AND(K20=0,CD20&lt;&gt;0)</formula>
    </cfRule>
  </conditionalFormatting>
  <conditionalFormatting sqref="CD21">
    <cfRule type="expression" dxfId="28" priority="17" stopIfTrue="1">
      <formula>AND(K21&gt;0,CD21=0)</formula>
    </cfRule>
    <cfRule type="expression" dxfId="27" priority="18" stopIfTrue="1">
      <formula>AND(K21=0,CD21&lt;&gt;0)</formula>
    </cfRule>
  </conditionalFormatting>
  <conditionalFormatting sqref="CD21">
    <cfRule type="expression" dxfId="26" priority="15" stopIfTrue="1">
      <formula>AND(K21&gt;0,CD21=0)</formula>
    </cfRule>
    <cfRule type="expression" dxfId="25" priority="16" stopIfTrue="1">
      <formula>AND(K21=0,CD21&lt;&gt;0)</formula>
    </cfRule>
  </conditionalFormatting>
  <conditionalFormatting sqref="CD77:CD78">
    <cfRule type="expression" dxfId="24" priority="13" stopIfTrue="1">
      <formula>AND(K77&gt;0,CD77=0)</formula>
    </cfRule>
    <cfRule type="expression" dxfId="23" priority="14" stopIfTrue="1">
      <formula>AND(K77=0,CD77&lt;&gt;0)</formula>
    </cfRule>
  </conditionalFormatting>
  <conditionalFormatting sqref="CD77:CD78">
    <cfRule type="expression" dxfId="22" priority="11" stopIfTrue="1">
      <formula>AND(K77&gt;0,CD77=0)</formula>
    </cfRule>
    <cfRule type="expression" dxfId="21" priority="12" stopIfTrue="1">
      <formula>AND(K77=0,CD77&lt;&gt;0)</formula>
    </cfRule>
  </conditionalFormatting>
  <conditionalFormatting sqref="CD77:CD78">
    <cfRule type="expression" dxfId="20" priority="7" stopIfTrue="1">
      <formula>AND(K77&gt;0,CD77=0)</formula>
    </cfRule>
    <cfRule type="expression" dxfId="19" priority="8" stopIfTrue="1">
      <formula>AND(K77=0,CD77&lt;&gt;0)</formula>
    </cfRule>
  </conditionalFormatting>
  <conditionalFormatting sqref="CD77:CD78">
    <cfRule type="expression" dxfId="18" priority="5" stopIfTrue="1">
      <formula>AND(K77&gt;0,CD77=0)</formula>
    </cfRule>
    <cfRule type="expression" dxfId="17" priority="6" stopIfTrue="1">
      <formula>AND(K77=0,CD77&lt;&gt;0)</formula>
    </cfRule>
  </conditionalFormatting>
  <conditionalFormatting sqref="CD78">
    <cfRule type="expression" dxfId="16" priority="3" stopIfTrue="1">
      <formula>AND(K78&gt;0,CD78=0)</formula>
    </cfRule>
    <cfRule type="expression" dxfId="15" priority="4" stopIfTrue="1">
      <formula>AND(K78=0,CD78&lt;&gt;0)</formula>
    </cfRule>
  </conditionalFormatting>
  <conditionalFormatting sqref="CD57">
    <cfRule type="expression" dxfId="14" priority="1" stopIfTrue="1">
      <formula>AND(K57&gt;0,CD57=0)</formula>
    </cfRule>
    <cfRule type="expression" dxfId="13" priority="2" stopIfTrue="1">
      <formula>AND(K57=0,CD57&lt;&gt;0)</formula>
    </cfRule>
  </conditionalFormatting>
  <printOptions horizontalCentered="1"/>
  <pageMargins left="0" right="0" top="0.59055118110236227" bottom="0.39370078740157483" header="0.11811023622047245" footer="0.11811023622047245"/>
  <pageSetup paperSize="8" scale="35" fitToHeight="100" orientation="landscape" r:id="rId1"/>
  <headerFooter alignWithMargins="0">
    <oddFooter>&amp;L&amp;F&amp;C&amp;9&amp;A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topLeftCell="A17" workbookViewId="0">
      <selection activeCell="A46" sqref="A46"/>
    </sheetView>
  </sheetViews>
  <sheetFormatPr defaultColWidth="2.83203125" defaultRowHeight="12.75" x14ac:dyDescent="0.2"/>
  <cols>
    <col min="1" max="55" width="3.33203125" style="6" customWidth="1"/>
    <col min="56" max="56" width="5" style="6" customWidth="1"/>
    <col min="57" max="59" width="3.33203125" style="6" customWidth="1"/>
    <col min="60" max="61" width="4" style="6" customWidth="1"/>
    <col min="62" max="65" width="3.33203125" style="6" customWidth="1"/>
    <col min="66" max="66" width="5" style="6" customWidth="1"/>
    <col min="67" max="16384" width="2.83203125" style="6"/>
  </cols>
  <sheetData>
    <row r="1" spans="1:66" ht="15.75" customHeight="1" x14ac:dyDescent="0.2">
      <c r="A1" s="216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657" t="s">
        <v>34</v>
      </c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  <c r="AN1" s="657"/>
      <c r="AO1" s="657"/>
      <c r="AP1" s="657"/>
      <c r="AQ1" s="657"/>
      <c r="AR1" s="657"/>
      <c r="AS1" s="657"/>
      <c r="AT1" s="657"/>
      <c r="AU1" s="657"/>
      <c r="AV1" s="657"/>
      <c r="AW1" s="657"/>
      <c r="AX1" s="657"/>
      <c r="AY1" s="657"/>
      <c r="AZ1" s="657"/>
      <c r="BA1" s="657"/>
      <c r="BB1" s="657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</row>
    <row r="2" spans="1:66" ht="15.75" customHeight="1" x14ac:dyDescent="0.2">
      <c r="A2" s="649" t="s">
        <v>403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58" t="s">
        <v>404</v>
      </c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  <c r="AG2" s="658"/>
      <c r="AH2" s="658"/>
      <c r="AI2" s="658"/>
      <c r="AJ2" s="658"/>
      <c r="AK2" s="658"/>
      <c r="AL2" s="658"/>
      <c r="AM2" s="658"/>
      <c r="AN2" s="658"/>
      <c r="AO2" s="658"/>
      <c r="AP2" s="658"/>
      <c r="AQ2" s="658"/>
      <c r="AR2" s="658"/>
      <c r="AS2" s="658"/>
      <c r="AT2" s="658"/>
      <c r="AU2" s="658"/>
      <c r="AV2" s="658"/>
      <c r="AW2" s="658"/>
      <c r="AX2" s="658"/>
      <c r="AY2" s="658"/>
      <c r="AZ2" s="658"/>
      <c r="BA2" s="658"/>
      <c r="BB2" s="658"/>
      <c r="BC2" s="777" t="s">
        <v>46</v>
      </c>
      <c r="BD2" s="777"/>
      <c r="BE2" s="777"/>
      <c r="BF2" s="777"/>
      <c r="BG2" s="777"/>
      <c r="BH2" s="777"/>
      <c r="BI2" s="777"/>
      <c r="BJ2" s="777"/>
      <c r="BK2" s="777"/>
      <c r="BL2" s="777"/>
      <c r="BM2" s="777"/>
      <c r="BN2" s="777"/>
    </row>
    <row r="3" spans="1:66" ht="15.75" customHeight="1" x14ac:dyDescent="0.2">
      <c r="A3" s="655">
        <v>42817</v>
      </c>
      <c r="B3" s="655"/>
      <c r="C3" s="655"/>
      <c r="D3" s="655"/>
      <c r="E3" s="655"/>
      <c r="F3" s="655"/>
      <c r="G3" s="655"/>
      <c r="H3" s="655" t="s">
        <v>502</v>
      </c>
      <c r="I3" s="655"/>
      <c r="J3" s="655"/>
      <c r="K3" s="655"/>
      <c r="L3" s="655"/>
      <c r="M3" s="655"/>
      <c r="N3" s="655"/>
      <c r="O3" s="658" t="s">
        <v>354</v>
      </c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778" t="s">
        <v>343</v>
      </c>
      <c r="BD3" s="778"/>
      <c r="BE3" s="778"/>
      <c r="BF3" s="778"/>
      <c r="BG3" s="778"/>
      <c r="BH3" s="778"/>
      <c r="BI3" s="778"/>
      <c r="BJ3" s="778"/>
      <c r="BK3" s="778"/>
      <c r="BL3" s="778"/>
      <c r="BM3" s="778"/>
      <c r="BN3" s="778"/>
    </row>
    <row r="4" spans="1:66" ht="15.75" customHeight="1" x14ac:dyDescent="0.2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 t="s">
        <v>26</v>
      </c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779" t="s">
        <v>461</v>
      </c>
      <c r="BD4" s="779"/>
      <c r="BE4" s="779"/>
      <c r="BF4" s="779"/>
      <c r="BG4" s="779"/>
      <c r="BH4" s="779"/>
      <c r="BI4" s="779"/>
      <c r="BJ4" s="779"/>
      <c r="BK4" s="779"/>
      <c r="BL4" s="779"/>
      <c r="BM4" s="779"/>
      <c r="BN4" s="779"/>
    </row>
    <row r="5" spans="1:66" ht="15.75" customHeight="1" x14ac:dyDescent="0.2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5"/>
      <c r="P5" s="215"/>
      <c r="Q5" s="215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23"/>
      <c r="BD5" s="224"/>
      <c r="BE5" s="224"/>
      <c r="BF5" s="225"/>
      <c r="BG5" s="226"/>
      <c r="BH5" s="226"/>
      <c r="BI5" s="226"/>
      <c r="BJ5" s="226"/>
      <c r="BK5" s="226"/>
      <c r="BL5" s="226"/>
      <c r="BM5" s="226"/>
      <c r="BN5" s="224"/>
    </row>
    <row r="6" spans="1:66" ht="15.75" customHeight="1" x14ac:dyDescent="0.2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5"/>
      <c r="P6" s="215"/>
      <c r="Q6" s="215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653">
        <v>42818</v>
      </c>
      <c r="BD6" s="653"/>
      <c r="BE6" s="653"/>
      <c r="BF6" s="653"/>
      <c r="BG6" s="653"/>
      <c r="BH6" s="653"/>
      <c r="BI6" s="653"/>
      <c r="BJ6" s="653"/>
      <c r="BK6" s="653"/>
      <c r="BL6" s="653"/>
      <c r="BM6" s="653"/>
      <c r="BN6" s="653"/>
    </row>
    <row r="7" spans="1:66" ht="25.5" x14ac:dyDescent="0.2">
      <c r="A7" s="651" t="s">
        <v>405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1"/>
      <c r="AE7" s="651"/>
      <c r="AF7" s="651"/>
      <c r="AG7" s="651"/>
      <c r="AH7" s="651"/>
      <c r="AI7" s="651"/>
      <c r="AJ7" s="651"/>
      <c r="AK7" s="651"/>
      <c r="AL7" s="651"/>
      <c r="AM7" s="651"/>
      <c r="AN7" s="651"/>
      <c r="AO7" s="651"/>
      <c r="AP7" s="651"/>
      <c r="AQ7" s="651"/>
      <c r="AR7" s="651"/>
      <c r="AS7" s="651"/>
      <c r="AT7" s="651"/>
      <c r="AU7" s="651"/>
      <c r="AV7" s="651"/>
      <c r="AW7" s="651"/>
      <c r="AX7" s="651"/>
      <c r="AY7" s="651"/>
      <c r="AZ7" s="651"/>
      <c r="BA7" s="651"/>
      <c r="BB7" s="651"/>
      <c r="BC7" s="651"/>
      <c r="BD7" s="651"/>
      <c r="BE7" s="651"/>
      <c r="BF7" s="651"/>
      <c r="BG7" s="651"/>
      <c r="BH7" s="651"/>
      <c r="BI7" s="651"/>
      <c r="BJ7" s="651"/>
      <c r="BK7" s="651"/>
      <c r="BL7" s="651"/>
      <c r="BM7" s="651"/>
      <c r="BN7" s="651"/>
    </row>
    <row r="8" spans="1:66" s="3" customFormat="1" ht="15.75" customHeight="1" x14ac:dyDescent="0.2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8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27"/>
      <c r="AA8" s="780" t="s">
        <v>406</v>
      </c>
      <c r="AB8" s="657"/>
      <c r="AC8" s="657"/>
      <c r="AD8" s="657"/>
      <c r="AE8" s="657"/>
      <c r="AF8" s="657"/>
      <c r="AG8" s="657"/>
      <c r="AH8" s="657"/>
      <c r="AI8" s="657"/>
      <c r="AJ8" s="657"/>
      <c r="AK8" s="657"/>
      <c r="AL8" s="657"/>
      <c r="AM8" s="657"/>
      <c r="AN8" s="657"/>
      <c r="AO8" s="657"/>
      <c r="AP8" s="657"/>
      <c r="AQ8" s="657"/>
      <c r="AR8" s="657"/>
      <c r="AS8" s="657"/>
      <c r="AT8" s="657"/>
      <c r="AU8" s="657"/>
      <c r="AV8" s="214"/>
      <c r="AW8" s="214"/>
      <c r="AX8" s="214"/>
      <c r="AY8" s="214"/>
      <c r="AZ8" s="214"/>
      <c r="BA8" s="214"/>
      <c r="BB8" s="214"/>
      <c r="BC8" s="214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</row>
    <row r="9" spans="1:66" s="3" customFormat="1" ht="15.75" customHeight="1" x14ac:dyDescent="0.2">
      <c r="A9" s="630" t="s">
        <v>155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781" t="s">
        <v>462</v>
      </c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1"/>
      <c r="AA9" s="781"/>
      <c r="AB9" s="781"/>
      <c r="AC9" s="781"/>
      <c r="AD9" s="781"/>
      <c r="AE9" s="781"/>
      <c r="AF9" s="781"/>
      <c r="AG9" s="781"/>
      <c r="AH9" s="781"/>
      <c r="AI9" s="781"/>
      <c r="AJ9" s="781"/>
      <c r="AK9" s="781"/>
      <c r="AL9" s="781"/>
      <c r="AM9" s="781"/>
      <c r="AN9" s="781"/>
      <c r="AO9" s="781"/>
      <c r="AP9" s="781"/>
      <c r="AQ9" s="781"/>
      <c r="AR9" s="781"/>
      <c r="AS9" s="781"/>
      <c r="AT9" s="781"/>
      <c r="AU9" s="781"/>
      <c r="AV9" s="781"/>
      <c r="AW9" s="781"/>
      <c r="AX9" s="781"/>
      <c r="AY9" s="781"/>
      <c r="AZ9" s="781"/>
      <c r="BA9" s="781"/>
      <c r="BB9" s="781"/>
      <c r="BC9" s="646" t="s">
        <v>50</v>
      </c>
      <c r="BD9" s="646"/>
      <c r="BE9" s="646"/>
      <c r="BF9" s="646"/>
      <c r="BG9" s="646"/>
      <c r="BH9" s="646"/>
      <c r="BI9" s="646"/>
      <c r="BJ9" s="646"/>
      <c r="BK9" s="646"/>
      <c r="BL9" s="646"/>
      <c r="BM9" s="646"/>
      <c r="BN9" s="646"/>
    </row>
    <row r="10" spans="1:66" s="3" customFormat="1" ht="15.75" customHeight="1" x14ac:dyDescent="0.2">
      <c r="A10" s="630" t="s">
        <v>152</v>
      </c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28" t="s">
        <v>463</v>
      </c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8"/>
      <c r="AS10" s="628"/>
      <c r="AT10" s="628"/>
      <c r="AU10" s="628"/>
      <c r="AV10" s="628"/>
      <c r="AW10" s="628"/>
      <c r="AX10" s="628"/>
      <c r="AY10" s="628"/>
      <c r="AZ10" s="628"/>
      <c r="BA10" s="628"/>
      <c r="BB10" s="628"/>
      <c r="BC10" s="646"/>
      <c r="BD10" s="646"/>
      <c r="BE10" s="646"/>
      <c r="BF10" s="646"/>
      <c r="BG10" s="646"/>
      <c r="BH10" s="646"/>
      <c r="BI10" s="646"/>
      <c r="BJ10" s="646"/>
      <c r="BK10" s="646"/>
      <c r="BL10" s="646"/>
      <c r="BM10" s="646"/>
      <c r="BN10" s="646"/>
    </row>
    <row r="11" spans="1:66" s="3" customFormat="1" ht="15.75" customHeight="1" x14ac:dyDescent="0.2">
      <c r="A11" s="630" t="s">
        <v>196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628"/>
      <c r="AC11" s="628"/>
      <c r="AD11" s="628"/>
      <c r="AE11" s="628"/>
      <c r="AF11" s="628"/>
      <c r="AG11" s="628"/>
      <c r="AH11" s="628"/>
      <c r="AI11" s="628"/>
      <c r="AJ11" s="628"/>
      <c r="AK11" s="628"/>
      <c r="AL11" s="628"/>
      <c r="AM11" s="628"/>
      <c r="AN11" s="628"/>
      <c r="AO11" s="628"/>
      <c r="AP11" s="628"/>
      <c r="AQ11" s="628"/>
      <c r="AR11" s="628"/>
      <c r="AS11" s="628"/>
      <c r="AT11" s="628"/>
      <c r="AU11" s="628"/>
      <c r="AV11" s="628"/>
      <c r="AW11" s="628"/>
      <c r="AX11" s="628"/>
      <c r="AY11" s="628"/>
      <c r="AZ11" s="628"/>
      <c r="BA11" s="628"/>
      <c r="BB11" s="628"/>
      <c r="BC11" s="646"/>
      <c r="BD11" s="646"/>
      <c r="BE11" s="646"/>
      <c r="BF11" s="646"/>
      <c r="BG11" s="646"/>
      <c r="BH11" s="646"/>
      <c r="BI11" s="646"/>
      <c r="BJ11" s="646"/>
      <c r="BK11" s="646"/>
      <c r="BL11" s="646"/>
      <c r="BM11" s="646"/>
      <c r="BN11" s="646"/>
    </row>
    <row r="12" spans="1:66" s="3" customFormat="1" ht="15.75" customHeight="1" x14ac:dyDescent="0.2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8"/>
      <c r="AF12" s="628"/>
      <c r="AG12" s="628"/>
      <c r="AH12" s="628"/>
      <c r="AI12" s="628"/>
      <c r="AJ12" s="628"/>
      <c r="AK12" s="628"/>
      <c r="AL12" s="628"/>
      <c r="AM12" s="628"/>
      <c r="AN12" s="628"/>
      <c r="AO12" s="628"/>
      <c r="AP12" s="628"/>
      <c r="AQ12" s="628"/>
      <c r="AR12" s="628"/>
      <c r="AS12" s="628"/>
      <c r="AT12" s="628"/>
      <c r="AU12" s="628"/>
      <c r="AV12" s="628"/>
      <c r="AW12" s="628"/>
      <c r="AX12" s="628"/>
      <c r="AY12" s="628"/>
      <c r="AZ12" s="628"/>
      <c r="BA12" s="628"/>
      <c r="BB12" s="628"/>
      <c r="BC12" s="646"/>
      <c r="BD12" s="646"/>
      <c r="BE12" s="646"/>
      <c r="BF12" s="646"/>
      <c r="BG12" s="646"/>
      <c r="BH12" s="646"/>
      <c r="BI12" s="646"/>
      <c r="BJ12" s="646"/>
      <c r="BK12" s="646"/>
      <c r="BL12" s="646"/>
      <c r="BM12" s="646"/>
      <c r="BN12" s="646"/>
    </row>
    <row r="13" spans="1:66" s="3" customFormat="1" ht="15.75" customHeight="1" x14ac:dyDescent="0.2">
      <c r="A13" s="630" t="s">
        <v>47</v>
      </c>
      <c r="B13" s="630"/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28" t="s">
        <v>153</v>
      </c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8"/>
      <c r="AS13" s="628"/>
      <c r="AT13" s="628"/>
      <c r="AU13" s="628"/>
      <c r="AV13" s="628"/>
      <c r="AW13" s="628"/>
      <c r="AX13" s="628"/>
      <c r="AY13" s="628"/>
      <c r="AZ13" s="628"/>
      <c r="BA13" s="628"/>
      <c r="BB13" s="628"/>
      <c r="BC13" s="647" t="s">
        <v>464</v>
      </c>
      <c r="BD13" s="648"/>
      <c r="BE13" s="648"/>
      <c r="BF13" s="648"/>
      <c r="BG13" s="648"/>
      <c r="BH13" s="648"/>
      <c r="BI13" s="648"/>
      <c r="BJ13" s="648"/>
      <c r="BK13" s="648"/>
      <c r="BL13" s="648"/>
      <c r="BM13" s="648"/>
      <c r="BN13" s="648"/>
    </row>
    <row r="14" spans="1:66" s="3" customFormat="1" ht="15.75" customHeight="1" x14ac:dyDescent="0.2">
      <c r="A14" s="630" t="s">
        <v>156</v>
      </c>
      <c r="B14" s="630"/>
      <c r="C14" s="630"/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28" t="s">
        <v>157</v>
      </c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  <c r="AF14" s="628"/>
      <c r="AG14" s="628"/>
      <c r="AH14" s="628"/>
      <c r="AI14" s="628"/>
      <c r="AJ14" s="628"/>
      <c r="AK14" s="628"/>
      <c r="AL14" s="628"/>
      <c r="AM14" s="628"/>
      <c r="AN14" s="628"/>
      <c r="AO14" s="628"/>
      <c r="AP14" s="628"/>
      <c r="AQ14" s="628"/>
      <c r="AR14" s="628"/>
      <c r="AS14" s="628"/>
      <c r="AT14" s="628"/>
      <c r="AU14" s="628"/>
      <c r="AV14" s="628"/>
      <c r="AW14" s="628"/>
      <c r="AX14" s="628"/>
      <c r="AY14" s="628"/>
      <c r="AZ14" s="628"/>
      <c r="BA14" s="628"/>
      <c r="BB14" s="628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</row>
    <row r="15" spans="1:66" s="3" customFormat="1" ht="15.75" customHeight="1" x14ac:dyDescent="0.2">
      <c r="A15" s="630" t="s">
        <v>48</v>
      </c>
      <c r="B15" s="630"/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782" t="s">
        <v>107</v>
      </c>
      <c r="P15" s="782"/>
      <c r="Q15" s="782"/>
      <c r="R15" s="782"/>
      <c r="S15" s="782"/>
      <c r="T15" s="782"/>
      <c r="U15" s="782"/>
      <c r="V15" s="782"/>
      <c r="W15" s="782"/>
      <c r="X15" s="782"/>
      <c r="Y15" s="782"/>
      <c r="Z15" s="782"/>
      <c r="AA15" s="782"/>
      <c r="AB15" s="782"/>
      <c r="AC15" s="782"/>
      <c r="AD15" s="782"/>
      <c r="AE15" s="782"/>
      <c r="AF15" s="782"/>
      <c r="AG15" s="782"/>
      <c r="AH15" s="782"/>
      <c r="AI15" s="782"/>
      <c r="AJ15" s="782"/>
      <c r="AK15" s="782"/>
      <c r="AL15" s="782"/>
      <c r="AM15" s="782"/>
      <c r="AN15" s="782"/>
      <c r="AO15" s="782"/>
      <c r="AP15" s="782"/>
      <c r="AQ15" s="782"/>
      <c r="AR15" s="782"/>
      <c r="AS15" s="782"/>
      <c r="AT15" s="782"/>
      <c r="AU15" s="782"/>
      <c r="AV15" s="782"/>
      <c r="AW15" s="782"/>
      <c r="AX15" s="782"/>
      <c r="AY15" s="782"/>
      <c r="AZ15" s="782"/>
      <c r="BA15" s="782"/>
      <c r="BB15" s="782"/>
      <c r="BC15" s="214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</row>
    <row r="16" spans="1:66" ht="15.75" customHeight="1" x14ac:dyDescent="0.2">
      <c r="A16" s="630" t="s">
        <v>256</v>
      </c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1">
        <v>3</v>
      </c>
      <c r="P16" s="631"/>
      <c r="Q16" s="629" t="s">
        <v>257</v>
      </c>
      <c r="R16" s="629"/>
      <c r="S16" s="629"/>
      <c r="T16" s="631">
        <v>4</v>
      </c>
      <c r="U16" s="631"/>
      <c r="V16" s="659" t="s">
        <v>258</v>
      </c>
      <c r="W16" s="659"/>
      <c r="X16" s="659"/>
      <c r="Y16" s="659"/>
      <c r="Z16" s="659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</row>
    <row r="17" spans="1:66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38" t="s">
        <v>49</v>
      </c>
      <c r="P17" s="638"/>
      <c r="Q17" s="638"/>
      <c r="R17" s="638"/>
      <c r="S17" s="638"/>
      <c r="T17" s="638"/>
      <c r="U17" s="638"/>
      <c r="V17" s="638"/>
      <c r="W17" s="638"/>
      <c r="X17" s="638"/>
      <c r="Y17" s="638"/>
      <c r="Z17" s="638"/>
      <c r="AA17" s="638"/>
      <c r="AB17" s="638"/>
      <c r="AC17" s="638"/>
      <c r="AD17" s="638"/>
      <c r="AE17" s="638"/>
      <c r="AF17" s="638"/>
      <c r="AG17" s="638"/>
      <c r="AH17" s="638"/>
      <c r="AI17" s="638"/>
      <c r="AJ17" s="638"/>
      <c r="AK17" s="638"/>
      <c r="AL17" s="638"/>
      <c r="AM17" s="638"/>
      <c r="AN17" s="638"/>
      <c r="AO17" s="638"/>
      <c r="AP17" s="638"/>
      <c r="AQ17" s="638"/>
      <c r="AR17" s="638"/>
      <c r="AS17" s="638"/>
      <c r="AT17" s="638"/>
      <c r="AU17" s="638"/>
      <c r="AV17" s="638"/>
      <c r="AW17" s="638"/>
      <c r="AX17" s="638"/>
      <c r="AY17" s="638"/>
      <c r="AZ17" s="638"/>
      <c r="BA17" s="638"/>
      <c r="BB17" s="638"/>
      <c r="BC17" s="40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</row>
    <row r="18" spans="1:66" ht="10.5" customHeight="1" x14ac:dyDescent="0.2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</row>
    <row r="19" spans="1:66" x14ac:dyDescent="0.2">
      <c r="A19" s="623" t="s">
        <v>10</v>
      </c>
      <c r="B19" s="639" t="s">
        <v>11</v>
      </c>
      <c r="C19" s="640"/>
      <c r="D19" s="640"/>
      <c r="E19" s="641"/>
      <c r="F19" s="626" t="s">
        <v>62</v>
      </c>
      <c r="G19" s="639" t="s">
        <v>25</v>
      </c>
      <c r="H19" s="640"/>
      <c r="I19" s="641"/>
      <c r="J19" s="626" t="s">
        <v>127</v>
      </c>
      <c r="K19" s="639" t="s">
        <v>12</v>
      </c>
      <c r="L19" s="640"/>
      <c r="M19" s="640"/>
      <c r="N19" s="641"/>
      <c r="O19" s="639" t="s">
        <v>13</v>
      </c>
      <c r="P19" s="640"/>
      <c r="Q19" s="640"/>
      <c r="R19" s="641"/>
      <c r="S19" s="626" t="s">
        <v>126</v>
      </c>
      <c r="T19" s="639" t="s">
        <v>14</v>
      </c>
      <c r="U19" s="640"/>
      <c r="V19" s="641"/>
      <c r="W19" s="626" t="s">
        <v>61</v>
      </c>
      <c r="X19" s="639" t="s">
        <v>15</v>
      </c>
      <c r="Y19" s="640"/>
      <c r="Z19" s="641"/>
      <c r="AA19" s="626" t="s">
        <v>122</v>
      </c>
      <c r="AB19" s="639" t="s">
        <v>16</v>
      </c>
      <c r="AC19" s="640"/>
      <c r="AD19" s="640"/>
      <c r="AE19" s="641"/>
      <c r="AF19" s="626" t="s">
        <v>60</v>
      </c>
      <c r="AG19" s="639" t="s">
        <v>17</v>
      </c>
      <c r="AH19" s="640"/>
      <c r="AI19" s="641"/>
      <c r="AJ19" s="626" t="s">
        <v>59</v>
      </c>
      <c r="AK19" s="639" t="s">
        <v>18</v>
      </c>
      <c r="AL19" s="640"/>
      <c r="AM19" s="640"/>
      <c r="AN19" s="641"/>
      <c r="AO19" s="639" t="s">
        <v>19</v>
      </c>
      <c r="AP19" s="640"/>
      <c r="AQ19" s="640"/>
      <c r="AR19" s="641"/>
      <c r="AS19" s="626" t="s">
        <v>125</v>
      </c>
      <c r="AT19" s="639" t="s">
        <v>20</v>
      </c>
      <c r="AU19" s="640"/>
      <c r="AV19" s="641"/>
      <c r="AW19" s="626" t="s">
        <v>121</v>
      </c>
      <c r="AX19" s="639" t="s">
        <v>21</v>
      </c>
      <c r="AY19" s="640"/>
      <c r="AZ19" s="640"/>
      <c r="BA19" s="641"/>
      <c r="BB19" s="632" t="s">
        <v>55</v>
      </c>
      <c r="BC19" s="633"/>
      <c r="BD19" s="633"/>
      <c r="BE19" s="633"/>
      <c r="BF19" s="633"/>
      <c r="BG19" s="633"/>
      <c r="BH19" s="633"/>
      <c r="BI19" s="633"/>
      <c r="BJ19" s="633"/>
      <c r="BK19" s="633"/>
      <c r="BL19" s="633"/>
      <c r="BM19" s="633"/>
      <c r="BN19" s="634"/>
    </row>
    <row r="20" spans="1:66" ht="15.75" customHeight="1" x14ac:dyDescent="0.2">
      <c r="A20" s="624"/>
      <c r="B20" s="642"/>
      <c r="C20" s="643"/>
      <c r="D20" s="643"/>
      <c r="E20" s="644"/>
      <c r="F20" s="627"/>
      <c r="G20" s="642"/>
      <c r="H20" s="643"/>
      <c r="I20" s="644"/>
      <c r="J20" s="627"/>
      <c r="K20" s="642"/>
      <c r="L20" s="643"/>
      <c r="M20" s="643"/>
      <c r="N20" s="644"/>
      <c r="O20" s="642"/>
      <c r="P20" s="643"/>
      <c r="Q20" s="643"/>
      <c r="R20" s="644"/>
      <c r="S20" s="627"/>
      <c r="T20" s="642"/>
      <c r="U20" s="643"/>
      <c r="V20" s="644"/>
      <c r="W20" s="627"/>
      <c r="X20" s="642"/>
      <c r="Y20" s="643"/>
      <c r="Z20" s="644"/>
      <c r="AA20" s="627"/>
      <c r="AB20" s="642"/>
      <c r="AC20" s="643"/>
      <c r="AD20" s="643"/>
      <c r="AE20" s="644"/>
      <c r="AF20" s="627"/>
      <c r="AG20" s="642"/>
      <c r="AH20" s="643"/>
      <c r="AI20" s="644"/>
      <c r="AJ20" s="627"/>
      <c r="AK20" s="642"/>
      <c r="AL20" s="643"/>
      <c r="AM20" s="643"/>
      <c r="AN20" s="644"/>
      <c r="AO20" s="642"/>
      <c r="AP20" s="643"/>
      <c r="AQ20" s="643"/>
      <c r="AR20" s="644"/>
      <c r="AS20" s="627"/>
      <c r="AT20" s="642"/>
      <c r="AU20" s="643"/>
      <c r="AV20" s="644"/>
      <c r="AW20" s="627"/>
      <c r="AX20" s="642"/>
      <c r="AY20" s="643"/>
      <c r="AZ20" s="643"/>
      <c r="BA20" s="644"/>
      <c r="BB20" s="660" t="s">
        <v>8</v>
      </c>
      <c r="BC20" s="661"/>
      <c r="BD20" s="662"/>
      <c r="BE20" s="660" t="s">
        <v>280</v>
      </c>
      <c r="BF20" s="661"/>
      <c r="BG20" s="662"/>
      <c r="BH20" s="635" t="s">
        <v>6</v>
      </c>
      <c r="BI20" s="635" t="s">
        <v>134</v>
      </c>
      <c r="BJ20" s="635" t="s">
        <v>44</v>
      </c>
      <c r="BK20" s="635" t="s">
        <v>56</v>
      </c>
      <c r="BL20" s="635" t="s">
        <v>57</v>
      </c>
      <c r="BM20" s="635" t="s">
        <v>45</v>
      </c>
      <c r="BN20" s="635" t="s">
        <v>1</v>
      </c>
    </row>
    <row r="21" spans="1:66" ht="15.75" customHeight="1" x14ac:dyDescent="0.2">
      <c r="A21" s="624"/>
      <c r="B21" s="7">
        <v>1</v>
      </c>
      <c r="C21" s="7">
        <v>8</v>
      </c>
      <c r="D21" s="7">
        <v>15</v>
      </c>
      <c r="E21" s="7">
        <v>22</v>
      </c>
      <c r="F21" s="669" t="s">
        <v>114</v>
      </c>
      <c r="G21" s="7">
        <v>6</v>
      </c>
      <c r="H21" s="7">
        <v>13</v>
      </c>
      <c r="I21" s="7">
        <v>20</v>
      </c>
      <c r="J21" s="669" t="s">
        <v>115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69" t="s">
        <v>116</v>
      </c>
      <c r="T21" s="7">
        <v>5</v>
      </c>
      <c r="U21" s="7">
        <v>12</v>
      </c>
      <c r="V21" s="7">
        <v>19</v>
      </c>
      <c r="W21" s="669" t="s">
        <v>117</v>
      </c>
      <c r="X21" s="7">
        <v>2</v>
      </c>
      <c r="Y21" s="7">
        <v>9</v>
      </c>
      <c r="Z21" s="7">
        <v>16</v>
      </c>
      <c r="AA21" s="669" t="s">
        <v>123</v>
      </c>
      <c r="AB21" s="7">
        <v>2</v>
      </c>
      <c r="AC21" s="7">
        <v>9</v>
      </c>
      <c r="AD21" s="7">
        <v>16</v>
      </c>
      <c r="AE21" s="7">
        <v>23</v>
      </c>
      <c r="AF21" s="669" t="s">
        <v>119</v>
      </c>
      <c r="AG21" s="7">
        <v>6</v>
      </c>
      <c r="AH21" s="7">
        <v>13</v>
      </c>
      <c r="AI21" s="7">
        <v>20</v>
      </c>
      <c r="AJ21" s="669" t="s">
        <v>120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69" t="s">
        <v>124</v>
      </c>
      <c r="AT21" s="7">
        <v>6</v>
      </c>
      <c r="AU21" s="7">
        <v>13</v>
      </c>
      <c r="AV21" s="7">
        <v>20</v>
      </c>
      <c r="AW21" s="669" t="s">
        <v>118</v>
      </c>
      <c r="AX21" s="7">
        <v>2</v>
      </c>
      <c r="AY21" s="7">
        <v>9</v>
      </c>
      <c r="AZ21" s="7">
        <v>16</v>
      </c>
      <c r="BA21" s="7">
        <v>23</v>
      </c>
      <c r="BB21" s="663"/>
      <c r="BC21" s="664"/>
      <c r="BD21" s="665"/>
      <c r="BE21" s="663"/>
      <c r="BF21" s="664"/>
      <c r="BG21" s="665"/>
      <c r="BH21" s="636"/>
      <c r="BI21" s="636"/>
      <c r="BJ21" s="636"/>
      <c r="BK21" s="636"/>
      <c r="BL21" s="636"/>
      <c r="BM21" s="636"/>
      <c r="BN21" s="636"/>
    </row>
    <row r="22" spans="1:66" ht="18" customHeight="1" x14ac:dyDescent="0.2">
      <c r="A22" s="624"/>
      <c r="B22" s="211">
        <v>7</v>
      </c>
      <c r="C22" s="211">
        <v>14</v>
      </c>
      <c r="D22" s="211">
        <v>21</v>
      </c>
      <c r="E22" s="211">
        <v>28</v>
      </c>
      <c r="F22" s="670"/>
      <c r="G22" s="211">
        <v>12</v>
      </c>
      <c r="H22" s="211">
        <v>19</v>
      </c>
      <c r="I22" s="211">
        <v>26</v>
      </c>
      <c r="J22" s="670"/>
      <c r="K22" s="211">
        <v>9</v>
      </c>
      <c r="L22" s="211">
        <v>16</v>
      </c>
      <c r="M22" s="211">
        <v>23</v>
      </c>
      <c r="N22" s="211">
        <v>30</v>
      </c>
      <c r="O22" s="211">
        <v>7</v>
      </c>
      <c r="P22" s="211">
        <v>14</v>
      </c>
      <c r="Q22" s="211">
        <v>21</v>
      </c>
      <c r="R22" s="211">
        <v>28</v>
      </c>
      <c r="S22" s="670"/>
      <c r="T22" s="211">
        <v>11</v>
      </c>
      <c r="U22" s="211">
        <v>18</v>
      </c>
      <c r="V22" s="211">
        <v>25</v>
      </c>
      <c r="W22" s="670"/>
      <c r="X22" s="211">
        <v>8</v>
      </c>
      <c r="Y22" s="211">
        <v>15</v>
      </c>
      <c r="Z22" s="211">
        <v>22</v>
      </c>
      <c r="AA22" s="670"/>
      <c r="AB22" s="211">
        <v>8</v>
      </c>
      <c r="AC22" s="211">
        <v>15</v>
      </c>
      <c r="AD22" s="211">
        <v>22</v>
      </c>
      <c r="AE22" s="211">
        <v>29</v>
      </c>
      <c r="AF22" s="670"/>
      <c r="AG22" s="211">
        <v>12</v>
      </c>
      <c r="AH22" s="211">
        <v>19</v>
      </c>
      <c r="AI22" s="211">
        <v>26</v>
      </c>
      <c r="AJ22" s="670"/>
      <c r="AK22" s="211">
        <v>10</v>
      </c>
      <c r="AL22" s="211">
        <v>17</v>
      </c>
      <c r="AM22" s="211">
        <v>24</v>
      </c>
      <c r="AN22" s="211">
        <v>31</v>
      </c>
      <c r="AO22" s="211">
        <v>7</v>
      </c>
      <c r="AP22" s="211">
        <v>14</v>
      </c>
      <c r="AQ22" s="211">
        <v>21</v>
      </c>
      <c r="AR22" s="211">
        <v>28</v>
      </c>
      <c r="AS22" s="670"/>
      <c r="AT22" s="211">
        <v>12</v>
      </c>
      <c r="AU22" s="211">
        <v>19</v>
      </c>
      <c r="AV22" s="211">
        <v>26</v>
      </c>
      <c r="AW22" s="670"/>
      <c r="AX22" s="211">
        <v>8</v>
      </c>
      <c r="AY22" s="211">
        <v>15</v>
      </c>
      <c r="AZ22" s="211">
        <v>22</v>
      </c>
      <c r="BA22" s="211">
        <v>31</v>
      </c>
      <c r="BB22" s="666"/>
      <c r="BC22" s="667"/>
      <c r="BD22" s="668"/>
      <c r="BE22" s="666"/>
      <c r="BF22" s="667"/>
      <c r="BG22" s="668"/>
      <c r="BH22" s="636"/>
      <c r="BI22" s="636"/>
      <c r="BJ22" s="636"/>
      <c r="BK22" s="636"/>
      <c r="BL22" s="636"/>
      <c r="BM22" s="636"/>
      <c r="BN22" s="636"/>
    </row>
    <row r="23" spans="1:66" ht="15.75" customHeight="1" x14ac:dyDescent="0.2">
      <c r="A23" s="625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76</v>
      </c>
      <c r="BC23" s="10" t="s">
        <v>33</v>
      </c>
      <c r="BD23" s="11" t="s">
        <v>58</v>
      </c>
      <c r="BE23" s="10" t="s">
        <v>76</v>
      </c>
      <c r="BF23" s="10" t="s">
        <v>33</v>
      </c>
      <c r="BG23" s="11" t="s">
        <v>58</v>
      </c>
      <c r="BH23" s="637"/>
      <c r="BI23" s="637"/>
      <c r="BJ23" s="637"/>
      <c r="BK23" s="637"/>
      <c r="BL23" s="637"/>
      <c r="BM23" s="637"/>
      <c r="BN23" s="637"/>
    </row>
    <row r="24" spans="1:66" ht="15.75" customHeight="1" x14ac:dyDescent="0.2">
      <c r="A24" s="9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392" t="s">
        <v>76</v>
      </c>
      <c r="R24" s="41" t="s">
        <v>76</v>
      </c>
      <c r="S24" s="41" t="s">
        <v>28</v>
      </c>
      <c r="T24" s="41" t="s">
        <v>28</v>
      </c>
      <c r="U24" s="41" t="s">
        <v>33</v>
      </c>
      <c r="V24" s="41" t="s">
        <v>33</v>
      </c>
      <c r="W24" s="41" t="s">
        <v>33</v>
      </c>
      <c r="X24" s="41" t="s">
        <v>211</v>
      </c>
      <c r="Y24" s="41" t="s">
        <v>211</v>
      </c>
      <c r="Z24" s="41" t="s">
        <v>211</v>
      </c>
      <c r="AA24" s="41" t="s">
        <v>211</v>
      </c>
      <c r="AB24" s="41" t="s">
        <v>33</v>
      </c>
      <c r="AC24" s="41" t="s">
        <v>33</v>
      </c>
      <c r="AD24" s="41" t="s">
        <v>33</v>
      </c>
      <c r="AE24" s="41" t="s">
        <v>33</v>
      </c>
      <c r="AF24" s="41" t="s">
        <v>33</v>
      </c>
      <c r="AG24" s="41" t="s">
        <v>33</v>
      </c>
      <c r="AH24" s="41" t="s">
        <v>33</v>
      </c>
      <c r="AI24" s="41" t="s">
        <v>33</v>
      </c>
      <c r="AJ24" s="41" t="s">
        <v>33</v>
      </c>
      <c r="AK24" s="41" t="s">
        <v>33</v>
      </c>
      <c r="AL24" s="41" t="s">
        <v>33</v>
      </c>
      <c r="AM24" s="41" t="s">
        <v>33</v>
      </c>
      <c r="AN24" s="41" t="s">
        <v>33</v>
      </c>
      <c r="AO24" s="41" t="s">
        <v>33</v>
      </c>
      <c r="AP24" s="41" t="s">
        <v>33</v>
      </c>
      <c r="AQ24" s="41" t="s">
        <v>33</v>
      </c>
      <c r="AR24" s="41" t="s">
        <v>33</v>
      </c>
      <c r="AS24" s="41" t="s">
        <v>33</v>
      </c>
      <c r="AT24" s="41" t="s">
        <v>33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2</v>
      </c>
      <c r="BC24" s="31">
        <f>COUNTIF(B24:BA24,"в")</f>
        <v>22</v>
      </c>
      <c r="BD24" s="32">
        <f>SUM(BB24:BC24)</f>
        <v>24</v>
      </c>
      <c r="BE24" s="31">
        <f>COUNTIF(B24:BA24,$R$31)</f>
        <v>0</v>
      </c>
      <c r="BF24" s="31">
        <f>COUNTIF(B24:BA24,$R$33)</f>
        <v>4</v>
      </c>
      <c r="BG24" s="32">
        <f>SUM(BE24:BF24)</f>
        <v>4</v>
      </c>
      <c r="BH24" s="32">
        <f>COUNTIF(B24:BA24,$AF$31)</f>
        <v>0</v>
      </c>
      <c r="BI24" s="32">
        <f>COUNTIF(B24:BA24,$AF$33)</f>
        <v>0</v>
      </c>
      <c r="BJ24" s="32">
        <f>COUNTIF(B24:BA24,$AQ$31)</f>
        <v>0</v>
      </c>
      <c r="BK24" s="32">
        <f>COUNTIF(B24:BA24,$AZ$31)</f>
        <v>0</v>
      </c>
      <c r="BL24" s="32">
        <f>COUNTIF(B24:BA24,$AQ$33)</f>
        <v>0</v>
      </c>
      <c r="BM24" s="32">
        <f>COUNTIF(B24:BA24,$AZ$33)</f>
        <v>9</v>
      </c>
      <c r="BN24" s="32">
        <f>SUM(BG24:BM24)+BD24</f>
        <v>37</v>
      </c>
    </row>
    <row r="25" spans="1:66" ht="15.75" customHeight="1" x14ac:dyDescent="0.2">
      <c r="A25" s="9">
        <v>2</v>
      </c>
      <c r="B25" s="41" t="s">
        <v>76</v>
      </c>
      <c r="C25" s="41" t="s">
        <v>76</v>
      </c>
      <c r="D25" s="41" t="s">
        <v>76</v>
      </c>
      <c r="E25" s="41" t="s">
        <v>76</v>
      </c>
      <c r="F25" s="41" t="s">
        <v>76</v>
      </c>
      <c r="G25" s="41" t="s">
        <v>76</v>
      </c>
      <c r="H25" s="41" t="s">
        <v>76</v>
      </c>
      <c r="I25" s="41" t="s">
        <v>76</v>
      </c>
      <c r="J25" s="41" t="s">
        <v>76</v>
      </c>
      <c r="K25" s="41" t="s">
        <v>76</v>
      </c>
      <c r="L25" s="41" t="s">
        <v>76</v>
      </c>
      <c r="M25" s="41" t="s">
        <v>76</v>
      </c>
      <c r="N25" s="41" t="s">
        <v>76</v>
      </c>
      <c r="O25" s="41" t="s">
        <v>76</v>
      </c>
      <c r="P25" s="41" t="s">
        <v>76</v>
      </c>
      <c r="Q25" s="392" t="s">
        <v>76</v>
      </c>
      <c r="R25" s="41" t="s">
        <v>76</v>
      </c>
      <c r="S25" s="41" t="s">
        <v>28</v>
      </c>
      <c r="T25" s="41" t="s">
        <v>28</v>
      </c>
      <c r="U25" s="41" t="s">
        <v>33</v>
      </c>
      <c r="V25" s="41" t="s">
        <v>33</v>
      </c>
      <c r="W25" s="41" t="s">
        <v>33</v>
      </c>
      <c r="X25" s="41" t="s">
        <v>211</v>
      </c>
      <c r="Y25" s="41" t="s">
        <v>211</v>
      </c>
      <c r="Z25" s="41" t="s">
        <v>211</v>
      </c>
      <c r="AA25" s="41" t="s">
        <v>211</v>
      </c>
      <c r="AB25" s="41" t="s">
        <v>33</v>
      </c>
      <c r="AC25" s="41" t="s">
        <v>33</v>
      </c>
      <c r="AD25" s="41" t="s">
        <v>33</v>
      </c>
      <c r="AE25" s="41" t="s">
        <v>33</v>
      </c>
      <c r="AF25" s="41" t="s">
        <v>33</v>
      </c>
      <c r="AG25" s="41" t="s">
        <v>33</v>
      </c>
      <c r="AH25" s="41" t="s">
        <v>33</v>
      </c>
      <c r="AI25" s="41" t="s">
        <v>33</v>
      </c>
      <c r="AJ25" s="41" t="s">
        <v>51</v>
      </c>
      <c r="AK25" s="41" t="s">
        <v>51</v>
      </c>
      <c r="AL25" s="41" t="s">
        <v>51</v>
      </c>
      <c r="AM25" s="41" t="s">
        <v>51</v>
      </c>
      <c r="AN25" s="41" t="s">
        <v>51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28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17</v>
      </c>
      <c r="BC25" s="31">
        <f>COUNTIF(B25:BA25,"в")</f>
        <v>11</v>
      </c>
      <c r="BD25" s="32">
        <f>SUM(BB25:BC25)</f>
        <v>28</v>
      </c>
      <c r="BE25" s="31">
        <f>COUNTIF(B25:BA25,$R$31)</f>
        <v>0</v>
      </c>
      <c r="BF25" s="31">
        <f>COUNTIF(B25:BA25,$R$33)</f>
        <v>4</v>
      </c>
      <c r="BG25" s="32">
        <f>SUM(BE25:BF25)</f>
        <v>4</v>
      </c>
      <c r="BH25" s="32">
        <f>COUNTIF(B25:BA25,$AF$31)</f>
        <v>11</v>
      </c>
      <c r="BI25" s="32">
        <f>COUNTIF(B25:BA25,$AF$33)</f>
        <v>0</v>
      </c>
      <c r="BJ25" s="32">
        <f>COUNTIF(B25:BA25,$AQ$31)</f>
        <v>0</v>
      </c>
      <c r="BK25" s="32">
        <f>COUNTIF(B25:BA25,$AZ$31)</f>
        <v>0</v>
      </c>
      <c r="BL25" s="32">
        <f>COUNTIF(B25:BA25,$AQ$33)</f>
        <v>0</v>
      </c>
      <c r="BM25" s="32">
        <f>COUNTIF(B25:BA25,$AZ$33)</f>
        <v>9</v>
      </c>
      <c r="BN25" s="32">
        <f>SUM(BG25:BM25)+BD25</f>
        <v>52</v>
      </c>
    </row>
    <row r="26" spans="1:66" ht="15.75" customHeight="1" x14ac:dyDescent="0.2">
      <c r="A26" s="9">
        <v>3</v>
      </c>
      <c r="B26" s="41" t="s">
        <v>52</v>
      </c>
      <c r="C26" s="41" t="s">
        <v>52</v>
      </c>
      <c r="D26" s="41" t="s">
        <v>52</v>
      </c>
      <c r="E26" s="41" t="s">
        <v>52</v>
      </c>
      <c r="F26" s="41" t="s">
        <v>52</v>
      </c>
      <c r="G26" s="41" t="s">
        <v>52</v>
      </c>
      <c r="H26" s="41" t="s">
        <v>52</v>
      </c>
      <c r="I26" s="41" t="s">
        <v>52</v>
      </c>
      <c r="J26" s="41" t="s">
        <v>76</v>
      </c>
      <c r="K26" s="41" t="s">
        <v>76</v>
      </c>
      <c r="L26" s="41" t="s">
        <v>76</v>
      </c>
      <c r="M26" s="41" t="s">
        <v>76</v>
      </c>
      <c r="N26" s="41" t="s">
        <v>76</v>
      </c>
      <c r="O26" s="41" t="s">
        <v>76</v>
      </c>
      <c r="P26" s="41" t="s">
        <v>76</v>
      </c>
      <c r="Q26" s="392" t="s">
        <v>76</v>
      </c>
      <c r="R26" s="41" t="s">
        <v>76</v>
      </c>
      <c r="S26" s="41" t="s">
        <v>28</v>
      </c>
      <c r="T26" s="41" t="s">
        <v>28</v>
      </c>
      <c r="U26" s="41" t="s">
        <v>33</v>
      </c>
      <c r="V26" s="41" t="s">
        <v>33</v>
      </c>
      <c r="W26" s="41" t="s">
        <v>211</v>
      </c>
      <c r="X26" s="41" t="s">
        <v>211</v>
      </c>
      <c r="Y26" s="41" t="s">
        <v>211</v>
      </c>
      <c r="Z26" s="41" t="s">
        <v>211</v>
      </c>
      <c r="AA26" s="41" t="s">
        <v>211</v>
      </c>
      <c r="AB26" s="41" t="s">
        <v>211</v>
      </c>
      <c r="AC26" s="41" t="s">
        <v>33</v>
      </c>
      <c r="AD26" s="41" t="s">
        <v>33</v>
      </c>
      <c r="AE26" s="41" t="s">
        <v>33</v>
      </c>
      <c r="AF26" s="41" t="s">
        <v>28</v>
      </c>
      <c r="AG26" s="41" t="s">
        <v>28</v>
      </c>
      <c r="AH26" s="41" t="s">
        <v>28</v>
      </c>
      <c r="AI26" s="41" t="s">
        <v>28</v>
      </c>
      <c r="AJ26" s="41" t="s">
        <v>28</v>
      </c>
      <c r="AK26" s="41" t="s">
        <v>28</v>
      </c>
      <c r="AL26" s="41" t="s">
        <v>28</v>
      </c>
      <c r="AM26" s="41" t="s">
        <v>52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9</v>
      </c>
      <c r="BC26" s="31">
        <f>COUNTIF(B26:BA26,"в")</f>
        <v>5</v>
      </c>
      <c r="BD26" s="32">
        <f>SUM(BB26:BC26)</f>
        <v>14</v>
      </c>
      <c r="BE26" s="31">
        <f>COUNTIF(B26:BA26,$R$31)</f>
        <v>0</v>
      </c>
      <c r="BF26" s="31">
        <f>COUNTIF(B26:BA26,$R$33)</f>
        <v>6</v>
      </c>
      <c r="BG26" s="32">
        <f>SUM(BE26:BF26)</f>
        <v>6</v>
      </c>
      <c r="BH26" s="32">
        <f>COUNTIF(B26:BA26,$AF$31)</f>
        <v>0</v>
      </c>
      <c r="BI26" s="32">
        <f>COUNTIF(B26:BA26,$AF$33)</f>
        <v>23</v>
      </c>
      <c r="BJ26" s="32">
        <f>COUNTIF(B26:BA26,$AQ$31)</f>
        <v>0</v>
      </c>
      <c r="BK26" s="32">
        <f>COUNTIF(B26:BA26,$AZ$31)</f>
        <v>0</v>
      </c>
      <c r="BL26" s="32">
        <f>COUNTIF(B26:BA26,$AQ$33)</f>
        <v>0</v>
      </c>
      <c r="BM26" s="32">
        <f>COUNTIF(B26:BA26,$AZ$33)</f>
        <v>9</v>
      </c>
      <c r="BN26" s="32">
        <f>SUM(BG26:BM26)+BD26</f>
        <v>52</v>
      </c>
    </row>
    <row r="27" spans="1:66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52</v>
      </c>
      <c r="I27" s="41" t="s">
        <v>52</v>
      </c>
      <c r="J27" s="41" t="s">
        <v>76</v>
      </c>
      <c r="K27" s="41" t="s">
        <v>76</v>
      </c>
      <c r="L27" s="41" t="s">
        <v>211</v>
      </c>
      <c r="M27" s="41" t="s">
        <v>211</v>
      </c>
      <c r="N27" s="41" t="s">
        <v>211</v>
      </c>
      <c r="O27" s="41" t="s">
        <v>211</v>
      </c>
      <c r="P27" s="41" t="s">
        <v>211</v>
      </c>
      <c r="Q27" s="41" t="s">
        <v>211</v>
      </c>
      <c r="R27" s="41" t="s">
        <v>76</v>
      </c>
      <c r="S27" s="41" t="s">
        <v>28</v>
      </c>
      <c r="T27" s="41" t="s">
        <v>28</v>
      </c>
      <c r="U27" s="41" t="s">
        <v>33</v>
      </c>
      <c r="V27" s="41" t="s">
        <v>33</v>
      </c>
      <c r="W27" s="41" t="s">
        <v>33</v>
      </c>
      <c r="X27" s="41" t="s">
        <v>33</v>
      </c>
      <c r="Y27" s="41" t="s">
        <v>52</v>
      </c>
      <c r="Z27" s="41" t="s">
        <v>52</v>
      </c>
      <c r="AA27" s="41" t="s">
        <v>52</v>
      </c>
      <c r="AB27" s="41" t="s">
        <v>52</v>
      </c>
      <c r="AC27" s="41" t="s">
        <v>32</v>
      </c>
      <c r="AD27" s="41" t="s">
        <v>32</v>
      </c>
      <c r="AE27" s="41" t="s">
        <v>32</v>
      </c>
      <c r="AF27" s="41" t="s">
        <v>32</v>
      </c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31">
        <f>COUNTIF(B27:BA27,"о")</f>
        <v>3</v>
      </c>
      <c r="BC27" s="31">
        <f>COUNTIF(B27:BA27,"в")</f>
        <v>4</v>
      </c>
      <c r="BD27" s="32">
        <f>SUM(BB27:BC27)</f>
        <v>7</v>
      </c>
      <c r="BE27" s="31">
        <f>COUNTIF(B27:BA27,$R$31)</f>
        <v>0</v>
      </c>
      <c r="BF27" s="31">
        <f>COUNTIF(B27:BA27,$R$33)</f>
        <v>6</v>
      </c>
      <c r="BG27" s="32">
        <f>SUM(BE27:BF27)</f>
        <v>6</v>
      </c>
      <c r="BH27" s="32">
        <f>COUNTIF(B27:BA27,$AF$31)</f>
        <v>0</v>
      </c>
      <c r="BI27" s="32">
        <f>COUNTIF(B27:BA27,$AF$33)</f>
        <v>12</v>
      </c>
      <c r="BJ27" s="32">
        <f>COUNTIF(B27:BA27,$AQ$31)</f>
        <v>0</v>
      </c>
      <c r="BK27" s="32">
        <f>COUNTIF(B27:BA27,$AZ$31)</f>
        <v>0</v>
      </c>
      <c r="BL27" s="32">
        <f>COUNTIF(B27:BA27,$AQ$33)</f>
        <v>4</v>
      </c>
      <c r="BM27" s="32">
        <f>COUNTIF(B27:BA27,$AZ$33)</f>
        <v>2</v>
      </c>
      <c r="BN27" s="32">
        <f>SUM(BG27:BM27)+BD27</f>
        <v>31</v>
      </c>
    </row>
    <row r="28" spans="1:66" ht="15.75" hidden="1" customHeight="1" x14ac:dyDescent="0.2">
      <c r="A28" s="9">
        <v>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92"/>
      <c r="R28" s="41"/>
      <c r="S28" s="41"/>
      <c r="T28" s="41"/>
      <c r="U28" s="41"/>
      <c r="V28" s="41"/>
      <c r="W28" s="41" t="s">
        <v>211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1</v>
      </c>
      <c r="BG28" s="32">
        <f>SUM(BE28:BF28)</f>
        <v>1</v>
      </c>
      <c r="BH28" s="32">
        <f>COUNTIF(B28:BA28,$AF$31)</f>
        <v>0</v>
      </c>
      <c r="BI28" s="32">
        <f>COUNTIF(B28:BA28,$AF$33)</f>
        <v>0</v>
      </c>
      <c r="BJ28" s="32">
        <f>COUNTIF(B28:BA28,$AQ$31)</f>
        <v>0</v>
      </c>
      <c r="BK28" s="32">
        <v>0</v>
      </c>
      <c r="BL28" s="32">
        <v>2</v>
      </c>
      <c r="BM28" s="32">
        <f>COUNTIF(B28:BA28,$AZ$33)</f>
        <v>0</v>
      </c>
      <c r="BN28" s="32">
        <f>SUM(BG28:BM28)+BD28</f>
        <v>3</v>
      </c>
    </row>
    <row r="29" spans="1:66" ht="15.75" customHeight="1" x14ac:dyDescent="0.2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783" t="s">
        <v>54</v>
      </c>
      <c r="AZ29" s="783"/>
      <c r="BA29" s="783"/>
      <c r="BB29" s="13">
        <f t="shared" ref="BB29:BN29" si="0">SUM(BB24:BB28)</f>
        <v>31</v>
      </c>
      <c r="BC29" s="13">
        <f t="shared" si="0"/>
        <v>42</v>
      </c>
      <c r="BD29" s="13">
        <f t="shared" si="0"/>
        <v>73</v>
      </c>
      <c r="BE29" s="13">
        <f t="shared" si="0"/>
        <v>0</v>
      </c>
      <c r="BF29" s="13">
        <f t="shared" si="0"/>
        <v>21</v>
      </c>
      <c r="BG29" s="13">
        <f t="shared" si="0"/>
        <v>21</v>
      </c>
      <c r="BH29" s="13">
        <f t="shared" si="0"/>
        <v>11</v>
      </c>
      <c r="BI29" s="13">
        <f t="shared" si="0"/>
        <v>35</v>
      </c>
      <c r="BJ29" s="13">
        <f t="shared" si="0"/>
        <v>0</v>
      </c>
      <c r="BK29" s="13">
        <v>0</v>
      </c>
      <c r="BL29" s="13">
        <f t="shared" si="0"/>
        <v>6</v>
      </c>
      <c r="BM29" s="13">
        <f t="shared" si="0"/>
        <v>29</v>
      </c>
      <c r="BN29" s="13">
        <f t="shared" si="0"/>
        <v>175</v>
      </c>
    </row>
    <row r="30" spans="1:66" ht="10.5" customHeight="1" x14ac:dyDescent="0.2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</row>
    <row r="31" spans="1:66" s="5" customFormat="1" ht="11.25" customHeight="1" x14ac:dyDescent="0.2">
      <c r="A31" s="213"/>
      <c r="B31" s="30" t="s">
        <v>76</v>
      </c>
      <c r="C31" s="43" t="s">
        <v>22</v>
      </c>
      <c r="D31" s="622" t="s">
        <v>465</v>
      </c>
      <c r="E31" s="622"/>
      <c r="F31" s="622"/>
      <c r="G31" s="622"/>
      <c r="H31" s="622"/>
      <c r="I31" s="622"/>
      <c r="J31" s="622"/>
      <c r="K31" s="622"/>
      <c r="L31" s="622"/>
      <c r="M31" s="622"/>
      <c r="N31" s="622"/>
      <c r="O31" s="622"/>
      <c r="P31" s="622"/>
      <c r="Q31" s="622"/>
      <c r="R31" s="24" t="s">
        <v>210</v>
      </c>
      <c r="S31" s="43" t="s">
        <v>22</v>
      </c>
      <c r="T31" s="622" t="s">
        <v>496</v>
      </c>
      <c r="U31" s="622"/>
      <c r="V31" s="622"/>
      <c r="W31" s="622"/>
      <c r="X31" s="622"/>
      <c r="Y31" s="622"/>
      <c r="Z31" s="622"/>
      <c r="AA31" s="622"/>
      <c r="AB31" s="622"/>
      <c r="AC31" s="622"/>
      <c r="AD31" s="622"/>
      <c r="AE31" s="622"/>
      <c r="AF31" s="26" t="s">
        <v>51</v>
      </c>
      <c r="AG31" s="43" t="s">
        <v>22</v>
      </c>
      <c r="AH31" s="672" t="s">
        <v>23</v>
      </c>
      <c r="AI31" s="672"/>
      <c r="AJ31" s="672"/>
      <c r="AK31" s="672"/>
      <c r="AL31" s="672"/>
      <c r="AM31" s="672"/>
      <c r="AN31" s="672"/>
      <c r="AO31" s="672"/>
      <c r="AP31" s="672"/>
      <c r="AQ31" s="24" t="s">
        <v>29</v>
      </c>
      <c r="AR31" s="43" t="s">
        <v>22</v>
      </c>
      <c r="AS31" s="622" t="s">
        <v>466</v>
      </c>
      <c r="AT31" s="622"/>
      <c r="AU31" s="622"/>
      <c r="AV31" s="622"/>
      <c r="AW31" s="622"/>
      <c r="AX31" s="622"/>
      <c r="AY31" s="622"/>
      <c r="AZ31" s="24" t="s">
        <v>508</v>
      </c>
      <c r="BA31" s="43" t="s">
        <v>22</v>
      </c>
      <c r="BB31" s="622" t="s">
        <v>53</v>
      </c>
      <c r="BC31" s="622"/>
      <c r="BD31" s="622"/>
      <c r="BE31" s="622"/>
      <c r="BF31" s="622"/>
      <c r="BG31" s="622"/>
      <c r="BH31" s="622"/>
      <c r="BI31" s="213"/>
      <c r="BJ31" s="213"/>
      <c r="BK31" s="213"/>
      <c r="BL31" s="213"/>
      <c r="BM31" s="213"/>
      <c r="BN31" s="213"/>
    </row>
    <row r="32" spans="1:66" s="5" customFormat="1" ht="11.25" x14ac:dyDescent="0.2">
      <c r="A32" s="213"/>
      <c r="B32" s="213"/>
      <c r="C32" s="213"/>
      <c r="D32" s="4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2"/>
      <c r="V32" s="43"/>
      <c r="W32" s="212"/>
      <c r="X32" s="212"/>
      <c r="Y32" s="43"/>
      <c r="Z32" s="212"/>
      <c r="AA32" s="212"/>
      <c r="AB32" s="43"/>
      <c r="AC32" s="212"/>
      <c r="AD32" s="212"/>
      <c r="AE32" s="43"/>
      <c r="AF32" s="212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</row>
    <row r="33" spans="1:66" s="5" customFormat="1" ht="11.25" customHeight="1" x14ac:dyDescent="0.2">
      <c r="A33" s="213"/>
      <c r="B33" s="30" t="s">
        <v>33</v>
      </c>
      <c r="C33" s="43" t="s">
        <v>22</v>
      </c>
      <c r="D33" s="622" t="s">
        <v>467</v>
      </c>
      <c r="E33" s="622"/>
      <c r="F33" s="622"/>
      <c r="G33" s="622"/>
      <c r="H33" s="622"/>
      <c r="I33" s="622"/>
      <c r="J33" s="622"/>
      <c r="K33" s="622"/>
      <c r="L33" s="622"/>
      <c r="M33" s="622"/>
      <c r="N33" s="622"/>
      <c r="O33" s="622"/>
      <c r="P33" s="622"/>
      <c r="Q33" s="622"/>
      <c r="R33" s="24" t="s">
        <v>211</v>
      </c>
      <c r="S33" s="43" t="s">
        <v>22</v>
      </c>
      <c r="T33" s="622" t="s">
        <v>497</v>
      </c>
      <c r="U33" s="622"/>
      <c r="V33" s="622"/>
      <c r="W33" s="622"/>
      <c r="X33" s="622"/>
      <c r="Y33" s="622"/>
      <c r="Z33" s="622"/>
      <c r="AA33" s="622"/>
      <c r="AB33" s="622"/>
      <c r="AC33" s="622"/>
      <c r="AD33" s="622"/>
      <c r="AE33" s="622"/>
      <c r="AF33" s="26" t="s">
        <v>52</v>
      </c>
      <c r="AG33" s="43" t="s">
        <v>22</v>
      </c>
      <c r="AH33" s="672" t="s">
        <v>207</v>
      </c>
      <c r="AI33" s="672"/>
      <c r="AJ33" s="672"/>
      <c r="AK33" s="672"/>
      <c r="AL33" s="672"/>
      <c r="AM33" s="672"/>
      <c r="AN33" s="672"/>
      <c r="AO33" s="672"/>
      <c r="AP33" s="672"/>
      <c r="AQ33" s="24" t="s">
        <v>32</v>
      </c>
      <c r="AR33" s="43" t="s">
        <v>22</v>
      </c>
      <c r="AS33" s="672" t="s">
        <v>407</v>
      </c>
      <c r="AT33" s="672"/>
      <c r="AU33" s="672"/>
      <c r="AV33" s="672"/>
      <c r="AW33" s="672"/>
      <c r="AX33" s="672"/>
      <c r="AY33" s="672"/>
      <c r="AZ33" s="27" t="s">
        <v>28</v>
      </c>
      <c r="BA33" s="43" t="s">
        <v>22</v>
      </c>
      <c r="BB33" s="672" t="s">
        <v>206</v>
      </c>
      <c r="BC33" s="672"/>
      <c r="BD33" s="672"/>
      <c r="BE33" s="672"/>
      <c r="BF33" s="672"/>
      <c r="BG33" s="673"/>
      <c r="BH33" s="12" t="s">
        <v>26</v>
      </c>
      <c r="BI33" s="43" t="s">
        <v>22</v>
      </c>
      <c r="BJ33" s="672" t="s">
        <v>43</v>
      </c>
      <c r="BK33" s="672"/>
      <c r="BL33" s="672"/>
      <c r="BM33" s="672"/>
      <c r="BN33" s="672"/>
    </row>
    <row r="34" spans="1:66" x14ac:dyDescent="0.2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</row>
    <row r="35" spans="1:66" hidden="1" x14ac:dyDescent="0.2">
      <c r="A35" s="23"/>
      <c r="B35" s="25" t="str">
        <f>B31</f>
        <v>о</v>
      </c>
      <c r="D35" s="221" t="s">
        <v>105</v>
      </c>
      <c r="L35" s="621" t="s">
        <v>153</v>
      </c>
      <c r="M35" s="621"/>
      <c r="N35" s="621"/>
      <c r="O35" s="621"/>
      <c r="P35" s="621"/>
      <c r="Q35" s="621"/>
      <c r="R35" s="621"/>
      <c r="S35" s="621"/>
      <c r="T35" s="621"/>
      <c r="U35" s="621"/>
    </row>
    <row r="36" spans="1:66" hidden="1" x14ac:dyDescent="0.2">
      <c r="A36" s="23"/>
      <c r="B36" s="25" t="str">
        <f>R31</f>
        <v>оа</v>
      </c>
      <c r="D36" s="221" t="s">
        <v>106</v>
      </c>
      <c r="L36" s="621" t="s">
        <v>154</v>
      </c>
      <c r="M36" s="621"/>
      <c r="N36" s="621"/>
      <c r="O36" s="621"/>
      <c r="P36" s="621"/>
      <c r="Q36" s="621"/>
      <c r="R36" s="621"/>
      <c r="S36" s="621"/>
      <c r="T36" s="621"/>
      <c r="U36" s="621"/>
      <c r="BA36" s="5"/>
      <c r="BK36" s="1"/>
      <c r="BL36" s="1"/>
    </row>
    <row r="37" spans="1:66" hidden="1" x14ac:dyDescent="0.2">
      <c r="A37" s="23"/>
      <c r="B37" s="24" t="str">
        <f>B33</f>
        <v>в</v>
      </c>
      <c r="D37" s="221" t="s">
        <v>107</v>
      </c>
      <c r="L37" s="621" t="s">
        <v>157</v>
      </c>
      <c r="M37" s="621"/>
      <c r="N37" s="621"/>
      <c r="O37" s="621"/>
      <c r="P37" s="621"/>
      <c r="Q37" s="621"/>
      <c r="R37" s="621"/>
      <c r="S37" s="621"/>
      <c r="T37" s="621"/>
      <c r="U37" s="621"/>
      <c r="V37" s="621"/>
      <c r="W37" s="621"/>
      <c r="X37" s="621"/>
      <c r="Y37" s="621"/>
      <c r="Z37" s="621"/>
      <c r="AA37" s="621"/>
      <c r="AB37" s="621"/>
      <c r="AC37" s="621"/>
      <c r="AD37" s="621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idden="1" x14ac:dyDescent="0.2">
      <c r="A38" s="23"/>
      <c r="B38" s="24" t="str">
        <f>R33</f>
        <v>ва</v>
      </c>
      <c r="D38" s="221"/>
      <c r="L38" s="621" t="s">
        <v>158</v>
      </c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23"/>
      <c r="B39" s="26" t="str">
        <f>AF31</f>
        <v>у</v>
      </c>
      <c r="D39" s="221" t="s">
        <v>108</v>
      </c>
      <c r="AQ39" s="5"/>
      <c r="BA39" s="5"/>
    </row>
    <row r="40" spans="1:66" hidden="1" x14ac:dyDescent="0.2">
      <c r="A40" s="23"/>
      <c r="B40" s="26" t="str">
        <f>AF33</f>
        <v>п</v>
      </c>
    </row>
    <row r="41" spans="1:66" hidden="1" x14ac:dyDescent="0.2">
      <c r="A41" s="23"/>
      <c r="B41" s="27" t="str">
        <f>AZ33</f>
        <v>к</v>
      </c>
    </row>
    <row r="42" spans="1:66" hidden="1" x14ac:dyDescent="0.2">
      <c r="A42" s="23"/>
      <c r="B42" s="28" t="str">
        <f>AQ31</f>
        <v>д</v>
      </c>
    </row>
    <row r="43" spans="1:66" hidden="1" x14ac:dyDescent="0.2">
      <c r="A43" s="23"/>
      <c r="B43" s="28" t="str">
        <f>AZ31</f>
        <v>Г</v>
      </c>
    </row>
    <row r="44" spans="1:66" hidden="1" x14ac:dyDescent="0.2">
      <c r="A44" s="23"/>
      <c r="B44" s="28" t="str">
        <f>AQ33</f>
        <v>А</v>
      </c>
    </row>
    <row r="45" spans="1:66" hidden="1" x14ac:dyDescent="0.2">
      <c r="A45" s="23"/>
      <c r="B45" s="29" t="str">
        <f>BH33</f>
        <v xml:space="preserve"> </v>
      </c>
    </row>
  </sheetData>
  <sheetProtection selectLockedCells="1"/>
  <mergeCells count="91">
    <mergeCell ref="L35:U35"/>
    <mergeCell ref="L36:U36"/>
    <mergeCell ref="L37:AD37"/>
    <mergeCell ref="L38:AD38"/>
    <mergeCell ref="D33:Q33"/>
    <mergeCell ref="T33:AE33"/>
    <mergeCell ref="AH33:AP33"/>
    <mergeCell ref="AS33:AY33"/>
    <mergeCell ref="BB33:BG33"/>
    <mergeCell ref="BJ33:BN33"/>
    <mergeCell ref="AY29:BA29"/>
    <mergeCell ref="D31:Q31"/>
    <mergeCell ref="T31:AE31"/>
    <mergeCell ref="AH31:AP31"/>
    <mergeCell ref="AS31:AY31"/>
    <mergeCell ref="BB31:BH31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X19:BA20"/>
    <mergeCell ref="BB19:BN19"/>
    <mergeCell ref="BB20:BD22"/>
    <mergeCell ref="BE20:BG22"/>
    <mergeCell ref="BH20:BH23"/>
    <mergeCell ref="BI20:BI23"/>
    <mergeCell ref="BJ20:BJ23"/>
    <mergeCell ref="BK20:BK23"/>
    <mergeCell ref="BL20:BL23"/>
    <mergeCell ref="BM20:BM23"/>
    <mergeCell ref="AJ19:AJ20"/>
    <mergeCell ref="AK19:AN20"/>
    <mergeCell ref="AO19:AR20"/>
    <mergeCell ref="AS19:AS20"/>
    <mergeCell ref="AT19:AV20"/>
    <mergeCell ref="AW19:AW20"/>
    <mergeCell ref="AG19:AI20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W19:W20"/>
    <mergeCell ref="X19:Z20"/>
    <mergeCell ref="AA19:AA20"/>
    <mergeCell ref="AB19:AE20"/>
    <mergeCell ref="AF19:AF20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BC13:BN13"/>
    <mergeCell ref="A4:N4"/>
    <mergeCell ref="BC4:BN4"/>
    <mergeCell ref="BC6:BN6"/>
    <mergeCell ref="A7:BN7"/>
    <mergeCell ref="AA8:AU8"/>
    <mergeCell ref="A9:N9"/>
    <mergeCell ref="O9:BB9"/>
    <mergeCell ref="BC9:BN12"/>
    <mergeCell ref="A10:N10"/>
    <mergeCell ref="O10:BB10"/>
    <mergeCell ref="A11:N11"/>
    <mergeCell ref="O11:BB11"/>
    <mergeCell ref="O12:BB12"/>
    <mergeCell ref="A13:N13"/>
    <mergeCell ref="O13:BB13"/>
    <mergeCell ref="O1:BB1"/>
    <mergeCell ref="A2:N2"/>
    <mergeCell ref="O2:BB2"/>
    <mergeCell ref="BC2:BN2"/>
    <mergeCell ref="A3:G3"/>
    <mergeCell ref="H3:N3"/>
    <mergeCell ref="O3:BB3"/>
    <mergeCell ref="BC3:BN3"/>
  </mergeCells>
  <conditionalFormatting sqref="A35:A36">
    <cfRule type="cellIs" priority="16" stopIfTrue="1" operator="equal">
      <formula>#REF!</formula>
    </cfRule>
  </conditionalFormatting>
  <conditionalFormatting sqref="A37:A38">
    <cfRule type="expression" dxfId="12" priority="15" stopIfTrue="1">
      <formula>$R$31</formula>
    </cfRule>
  </conditionalFormatting>
  <conditionalFormatting sqref="B35">
    <cfRule type="cellIs" priority="14" stopIfTrue="1" operator="equal">
      <formula>$B$31</formula>
    </cfRule>
  </conditionalFormatting>
  <conditionalFormatting sqref="B36">
    <cfRule type="cellIs" dxfId="11" priority="13" stopIfTrue="1" operator="equal">
      <formula>$R$31</formula>
    </cfRule>
  </conditionalFormatting>
  <conditionalFormatting sqref="B37">
    <cfRule type="cellIs" dxfId="10" priority="12" stopIfTrue="1" operator="equal">
      <formula>$B$33</formula>
    </cfRule>
  </conditionalFormatting>
  <conditionalFormatting sqref="B38">
    <cfRule type="cellIs" dxfId="9" priority="11" stopIfTrue="1" operator="equal">
      <formula>$R$33</formula>
    </cfRule>
  </conditionalFormatting>
  <conditionalFormatting sqref="B39">
    <cfRule type="cellIs" priority="10" stopIfTrue="1" operator="equal">
      <formula>$AF$31</formula>
    </cfRule>
  </conditionalFormatting>
  <conditionalFormatting sqref="B40">
    <cfRule type="cellIs" dxfId="8" priority="9" stopIfTrue="1" operator="equal">
      <formula>$AF$33</formula>
    </cfRule>
  </conditionalFormatting>
  <conditionalFormatting sqref="B41">
    <cfRule type="cellIs" dxfId="7" priority="8" stopIfTrue="1" operator="equal">
      <formula>$AZ$33</formula>
    </cfRule>
  </conditionalFormatting>
  <conditionalFormatting sqref="B42">
    <cfRule type="cellIs" dxfId="6" priority="7" stopIfTrue="1" operator="equal">
      <formula>$AQ$31</formula>
    </cfRule>
  </conditionalFormatting>
  <conditionalFormatting sqref="B43">
    <cfRule type="cellIs" dxfId="5" priority="6" stopIfTrue="1" operator="equal">
      <formula>$AZ$31</formula>
    </cfRule>
  </conditionalFormatting>
  <conditionalFormatting sqref="B44">
    <cfRule type="cellIs" dxfId="4" priority="5" stopIfTrue="1" operator="equal">
      <formula>$AQ$33</formula>
    </cfRule>
  </conditionalFormatting>
  <conditionalFormatting sqref="B45">
    <cfRule type="cellIs" priority="4" stopIfTrue="1" operator="equal">
      <formula>$BH$33</formula>
    </cfRule>
  </conditionalFormatting>
  <conditionalFormatting sqref="B24:BA28">
    <cfRule type="expression" dxfId="3" priority="1" stopIfTrue="1">
      <formula>OR(B24=$R$31,B24=$R$33,B24=$AQ$31,B24=$AZ$31,B24=$AQ$33)</formula>
    </cfRule>
    <cfRule type="expression" dxfId="2" priority="2" stopIfTrue="1">
      <formula>OR(B24=$AF$31,B24=$AF$33)</formula>
    </cfRule>
    <cfRule type="cellIs" dxfId="1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showZeros="0" zoomScale="70" zoomScaleNormal="70" workbookViewId="0">
      <pane xSplit="18" ySplit="8" topLeftCell="Z9" activePane="bottomRight" state="frozen"/>
      <selection pane="topRight" activeCell="T1" sqref="T1"/>
      <selection pane="bottomLeft" activeCell="A9" sqref="A9"/>
      <selection pane="bottomRight" activeCell="I1" sqref="I1:J1048576"/>
    </sheetView>
  </sheetViews>
  <sheetFormatPr defaultRowHeight="12.75" x14ac:dyDescent="0.2"/>
  <cols>
    <col min="1" max="1" width="14.5" style="222" customWidth="1"/>
    <col min="2" max="2" width="30.33203125" style="222" customWidth="1"/>
    <col min="3" max="3" width="12.6640625" style="222" customWidth="1"/>
    <col min="4" max="7" width="6.83203125" style="69" customWidth="1"/>
    <col min="8" max="8" width="7" style="69" customWidth="1"/>
    <col min="9" max="10" width="6.83203125" style="69" hidden="1" customWidth="1"/>
    <col min="11" max="12" width="6.83203125" style="70" customWidth="1"/>
    <col min="13" max="19" width="6.83203125" style="222" customWidth="1"/>
    <col min="20" max="25" width="6.83203125" style="388" customWidth="1"/>
    <col min="26" max="43" width="6.83203125" style="222" customWidth="1"/>
    <col min="44" max="44" width="6.83203125" style="222" hidden="1" customWidth="1"/>
    <col min="45" max="45" width="4.6640625" style="222" hidden="1" customWidth="1"/>
    <col min="46" max="46" width="6.1640625" style="222" hidden="1" customWidth="1"/>
    <col min="47" max="47" width="5.5" style="222" hidden="1" customWidth="1"/>
    <col min="48" max="48" width="6.83203125" style="222" hidden="1" customWidth="1"/>
    <col min="49" max="49" width="4.83203125" style="222" hidden="1" customWidth="1"/>
    <col min="50" max="50" width="5.33203125" style="222" hidden="1" customWidth="1"/>
    <col min="51" max="51" width="6.83203125" style="222" hidden="1" customWidth="1"/>
    <col min="52" max="52" width="9.5" style="54" customWidth="1"/>
    <col min="53" max="53" width="28.83203125" style="54" customWidth="1"/>
    <col min="54" max="16384" width="9.33203125" style="53"/>
  </cols>
  <sheetData>
    <row r="1" spans="1:53" s="55" customFormat="1" ht="12.75" customHeight="1" x14ac:dyDescent="0.2">
      <c r="A1" s="879" t="s">
        <v>159</v>
      </c>
      <c r="B1" s="885" t="s">
        <v>73</v>
      </c>
      <c r="C1" s="887" t="s">
        <v>74</v>
      </c>
      <c r="D1" s="888" t="s">
        <v>468</v>
      </c>
      <c r="E1" s="889"/>
      <c r="F1" s="889"/>
      <c r="G1" s="889"/>
      <c r="H1" s="890"/>
      <c r="I1" s="398"/>
      <c r="J1" s="862" t="s">
        <v>503</v>
      </c>
      <c r="K1" s="853" t="s">
        <v>212</v>
      </c>
      <c r="L1" s="854"/>
      <c r="M1" s="847" t="s">
        <v>2</v>
      </c>
      <c r="N1" s="848"/>
      <c r="O1" s="848"/>
      <c r="P1" s="848"/>
      <c r="Q1" s="848"/>
      <c r="R1" s="848"/>
      <c r="S1" s="859"/>
      <c r="T1" s="847" t="s">
        <v>139</v>
      </c>
      <c r="U1" s="848"/>
      <c r="V1" s="848"/>
      <c r="W1" s="848"/>
      <c r="X1" s="848"/>
      <c r="Y1" s="848"/>
      <c r="Z1" s="848"/>
      <c r="AA1" s="848"/>
      <c r="AB1" s="848"/>
      <c r="AC1" s="848"/>
      <c r="AD1" s="848"/>
      <c r="AE1" s="848"/>
      <c r="AF1" s="848"/>
      <c r="AG1" s="848"/>
      <c r="AH1" s="848"/>
      <c r="AI1" s="848"/>
      <c r="AJ1" s="848"/>
      <c r="AK1" s="848"/>
      <c r="AL1" s="848"/>
      <c r="AM1" s="848"/>
      <c r="AN1" s="848"/>
      <c r="AO1" s="848"/>
      <c r="AP1" s="848"/>
      <c r="AQ1" s="848"/>
      <c r="AR1" s="848"/>
      <c r="AS1" s="848"/>
      <c r="AT1" s="848"/>
      <c r="AU1" s="848"/>
      <c r="AV1" s="848"/>
      <c r="AW1" s="848"/>
      <c r="AX1" s="848"/>
      <c r="AY1" s="848"/>
      <c r="AZ1" s="865" t="s">
        <v>160</v>
      </c>
      <c r="BA1" s="865" t="s">
        <v>72</v>
      </c>
    </row>
    <row r="2" spans="1:53" s="55" customFormat="1" ht="13.5" customHeight="1" thickBot="1" x14ac:dyDescent="0.25">
      <c r="A2" s="880"/>
      <c r="B2" s="886"/>
      <c r="C2" s="880"/>
      <c r="D2" s="873"/>
      <c r="E2" s="872"/>
      <c r="F2" s="872"/>
      <c r="G2" s="872"/>
      <c r="H2" s="891"/>
      <c r="I2" s="398"/>
      <c r="J2" s="863"/>
      <c r="K2" s="855"/>
      <c r="L2" s="856"/>
      <c r="M2" s="717" t="s">
        <v>1</v>
      </c>
      <c r="N2" s="696" t="s">
        <v>3</v>
      </c>
      <c r="O2" s="696"/>
      <c r="P2" s="696"/>
      <c r="Q2" s="696"/>
      <c r="R2" s="696"/>
      <c r="S2" s="697"/>
      <c r="T2" s="868" t="s">
        <v>504</v>
      </c>
      <c r="U2" s="868"/>
      <c r="V2" s="868"/>
      <c r="W2" s="868"/>
      <c r="X2" s="868"/>
      <c r="Y2" s="868"/>
      <c r="Z2" s="868" t="s">
        <v>505</v>
      </c>
      <c r="AA2" s="868"/>
      <c r="AB2" s="868"/>
      <c r="AC2" s="868"/>
      <c r="AD2" s="868"/>
      <c r="AE2" s="868"/>
      <c r="AF2" s="868" t="s">
        <v>469</v>
      </c>
      <c r="AG2" s="868"/>
      <c r="AH2" s="868"/>
      <c r="AI2" s="868"/>
      <c r="AJ2" s="868"/>
      <c r="AK2" s="868"/>
      <c r="AL2" s="896" t="s">
        <v>470</v>
      </c>
      <c r="AM2" s="896"/>
      <c r="AN2" s="896"/>
      <c r="AO2" s="896"/>
      <c r="AP2" s="896"/>
      <c r="AQ2" s="896"/>
      <c r="AR2" s="868" t="s">
        <v>472</v>
      </c>
      <c r="AS2" s="868"/>
      <c r="AT2" s="868"/>
      <c r="AU2" s="868"/>
      <c r="AV2" s="868"/>
      <c r="AW2" s="868"/>
      <c r="AX2" s="868"/>
      <c r="AY2" s="868"/>
      <c r="AZ2" s="866"/>
      <c r="BA2" s="866"/>
    </row>
    <row r="3" spans="1:53" s="55" customFormat="1" ht="12.75" customHeight="1" x14ac:dyDescent="0.2">
      <c r="A3" s="880"/>
      <c r="B3" s="886"/>
      <c r="C3" s="880"/>
      <c r="D3" s="860" t="s">
        <v>63</v>
      </c>
      <c r="E3" s="687" t="s">
        <v>565</v>
      </c>
      <c r="F3" s="507"/>
      <c r="G3" s="687" t="s">
        <v>566</v>
      </c>
      <c r="H3" s="689" t="s">
        <v>567</v>
      </c>
      <c r="I3" s="399"/>
      <c r="J3" s="863"/>
      <c r="K3" s="855"/>
      <c r="L3" s="856"/>
      <c r="M3" s="718"/>
      <c r="N3" s="698" t="s">
        <v>80</v>
      </c>
      <c r="O3" s="686"/>
      <c r="P3" s="686"/>
      <c r="Q3" s="686"/>
      <c r="R3" s="703"/>
      <c r="S3" s="755" t="s">
        <v>82</v>
      </c>
      <c r="T3" s="888"/>
      <c r="U3" s="889"/>
      <c r="V3" s="533"/>
      <c r="W3" s="534">
        <v>30</v>
      </c>
      <c r="X3" s="534"/>
      <c r="Y3" s="535"/>
      <c r="Z3" s="888"/>
      <c r="AA3" s="889"/>
      <c r="AB3" s="533"/>
      <c r="AC3" s="534">
        <v>30</v>
      </c>
      <c r="AD3" s="534"/>
      <c r="AE3" s="535"/>
      <c r="AF3" s="888"/>
      <c r="AG3" s="889"/>
      <c r="AH3" s="539"/>
      <c r="AI3" s="539"/>
      <c r="AJ3" s="534">
        <v>40</v>
      </c>
      <c r="AK3" s="540"/>
      <c r="AL3" s="897"/>
      <c r="AM3" s="898"/>
      <c r="AN3" s="539"/>
      <c r="AO3" s="534">
        <v>40</v>
      </c>
      <c r="AP3" s="534"/>
      <c r="AQ3" s="535"/>
      <c r="AR3" s="892"/>
      <c r="AS3" s="893"/>
      <c r="AT3" s="894"/>
      <c r="AU3" s="297"/>
      <c r="AV3" s="296">
        <v>40</v>
      </c>
      <c r="AW3" s="296"/>
      <c r="AX3" s="296"/>
      <c r="AY3" s="295"/>
      <c r="AZ3" s="866"/>
      <c r="BA3" s="866"/>
    </row>
    <row r="4" spans="1:53" s="55" customFormat="1" ht="12.75" customHeight="1" x14ac:dyDescent="0.2">
      <c r="A4" s="880"/>
      <c r="B4" s="886"/>
      <c r="C4" s="880"/>
      <c r="D4" s="861"/>
      <c r="E4" s="688"/>
      <c r="F4" s="508"/>
      <c r="G4" s="688"/>
      <c r="H4" s="690"/>
      <c r="I4" s="399"/>
      <c r="J4" s="863"/>
      <c r="K4" s="855"/>
      <c r="L4" s="856"/>
      <c r="M4" s="718"/>
      <c r="N4" s="719"/>
      <c r="O4" s="698" t="s">
        <v>568</v>
      </c>
      <c r="P4" s="698" t="s">
        <v>569</v>
      </c>
      <c r="Q4" s="698" t="s">
        <v>215</v>
      </c>
      <c r="R4" s="698" t="s">
        <v>278</v>
      </c>
      <c r="S4" s="755"/>
      <c r="T4" s="873"/>
      <c r="U4" s="872"/>
      <c r="V4" s="510"/>
      <c r="W4" s="872" t="s">
        <v>471</v>
      </c>
      <c r="X4" s="872"/>
      <c r="Y4" s="536"/>
      <c r="Z4" s="873"/>
      <c r="AA4" s="872"/>
      <c r="AB4" s="510"/>
      <c r="AC4" s="872" t="s">
        <v>471</v>
      </c>
      <c r="AD4" s="872"/>
      <c r="AE4" s="536"/>
      <c r="AF4" s="873"/>
      <c r="AG4" s="872"/>
      <c r="AH4" s="510"/>
      <c r="AI4" s="510"/>
      <c r="AJ4" s="872" t="s">
        <v>471</v>
      </c>
      <c r="AK4" s="891"/>
      <c r="AL4" s="874"/>
      <c r="AM4" s="875"/>
      <c r="AN4" s="510"/>
      <c r="AO4" s="872" t="s">
        <v>471</v>
      </c>
      <c r="AP4" s="872"/>
      <c r="AQ4" s="536"/>
      <c r="AR4" s="876"/>
      <c r="AS4" s="877"/>
      <c r="AT4" s="878"/>
      <c r="AU4" s="248"/>
      <c r="AV4" s="872" t="s">
        <v>471</v>
      </c>
      <c r="AW4" s="872"/>
      <c r="AX4" s="872"/>
      <c r="AY4" s="248"/>
      <c r="AZ4" s="866"/>
      <c r="BA4" s="866"/>
    </row>
    <row r="5" spans="1:53" s="55" customFormat="1" ht="12.75" customHeight="1" x14ac:dyDescent="0.2">
      <c r="A5" s="880"/>
      <c r="B5" s="886"/>
      <c r="C5" s="880"/>
      <c r="D5" s="861"/>
      <c r="E5" s="688"/>
      <c r="F5" s="508"/>
      <c r="G5" s="688"/>
      <c r="H5" s="690"/>
      <c r="I5" s="399"/>
      <c r="J5" s="863"/>
      <c r="K5" s="855"/>
      <c r="L5" s="856"/>
      <c r="M5" s="718"/>
      <c r="N5" s="719"/>
      <c r="O5" s="699"/>
      <c r="P5" s="699"/>
      <c r="Q5" s="699"/>
      <c r="R5" s="699"/>
      <c r="S5" s="755"/>
      <c r="T5" s="849" t="s">
        <v>136</v>
      </c>
      <c r="U5" s="850"/>
      <c r="V5" s="509"/>
      <c r="W5" s="509"/>
      <c r="X5" s="57">
        <f>IF((SUM(U60:Y60)+SUM(U61:Y61))=0,0,(SUM(U60:Y60)+SUM(U61:Y61))/Нормы!$G$38)</f>
        <v>0</v>
      </c>
      <c r="Y5" s="537" t="s">
        <v>137</v>
      </c>
      <c r="Z5" s="849" t="s">
        <v>136</v>
      </c>
      <c r="AA5" s="850"/>
      <c r="AB5" s="509"/>
      <c r="AC5" s="509"/>
      <c r="AD5" s="57">
        <f>IF((SUM(AA60:AE60)+SUM(AA61:AE61))=0,0,(SUM(AA60:AE60)+SUM(AA61:AE61))/Нормы!$G$39)</f>
        <v>11</v>
      </c>
      <c r="AE5" s="537" t="s">
        <v>137</v>
      </c>
      <c r="AF5" s="849" t="s">
        <v>136</v>
      </c>
      <c r="AG5" s="850"/>
      <c r="AH5" s="509"/>
      <c r="AI5" s="509"/>
      <c r="AJ5" s="57">
        <f>IF((SUM(AG60:AK60)+SUM(AG61:AK61))=0,0,(SUM(AG60:AK60)+SUM(AG61:AK61))/Нормы!$G$39)</f>
        <v>28</v>
      </c>
      <c r="AK5" s="537" t="s">
        <v>137</v>
      </c>
      <c r="AL5" s="849" t="s">
        <v>136</v>
      </c>
      <c r="AM5" s="850"/>
      <c r="AN5" s="509"/>
      <c r="AO5" s="509"/>
      <c r="AP5" s="57">
        <f>IF((SUM(AM60:AQ60)+SUM(AM61:AQ61))=0,0,(SUM(AM60:AQ60)+SUM(AM61:AQ61))/Нормы!$G$39)</f>
        <v>13</v>
      </c>
      <c r="AQ5" s="537" t="s">
        <v>137</v>
      </c>
      <c r="AR5" s="514"/>
      <c r="AS5" s="895" t="s">
        <v>136</v>
      </c>
      <c r="AT5" s="895"/>
      <c r="AU5" s="249"/>
      <c r="AV5" s="249"/>
      <c r="AW5" s="56"/>
      <c r="AX5" s="57">
        <f>IF((SUM(AS60:AY60)+SUM(AS61:AY61))=0,0,(SUM(AS60:AY60)+SUM(AS61:AY61))/Нормы!$G$38)</f>
        <v>0</v>
      </c>
      <c r="AY5" s="58" t="s">
        <v>137</v>
      </c>
      <c r="AZ5" s="866"/>
      <c r="BA5" s="866"/>
    </row>
    <row r="6" spans="1:53" s="55" customFormat="1" ht="12.75" customHeight="1" x14ac:dyDescent="0.2">
      <c r="A6" s="880"/>
      <c r="B6" s="886"/>
      <c r="C6" s="880"/>
      <c r="D6" s="861"/>
      <c r="E6" s="688"/>
      <c r="F6" s="508"/>
      <c r="G6" s="688"/>
      <c r="H6" s="690"/>
      <c r="I6" s="399"/>
      <c r="J6" s="863"/>
      <c r="K6" s="857"/>
      <c r="L6" s="858"/>
      <c r="M6" s="718"/>
      <c r="N6" s="719"/>
      <c r="O6" s="699"/>
      <c r="P6" s="699"/>
      <c r="Q6" s="699"/>
      <c r="R6" s="699"/>
      <c r="S6" s="755"/>
      <c r="T6" s="851" t="s">
        <v>138</v>
      </c>
      <c r="U6" s="852"/>
      <c r="V6" s="852"/>
      <c r="W6" s="515"/>
      <c r="X6" s="59">
        <f>IF(SUM(U64:Y64)=0,0,SUM(U64:Y64)/Нормы!$G$38)</f>
        <v>0</v>
      </c>
      <c r="Y6" s="538" t="s">
        <v>137</v>
      </c>
      <c r="Z6" s="851" t="s">
        <v>138</v>
      </c>
      <c r="AA6" s="852"/>
      <c r="AB6" s="852"/>
      <c r="AC6" s="515"/>
      <c r="AD6" s="59">
        <f>IF(SUM(AA64:AE64)=0,0,SUM(AA64:AE64)/Нормы!$G$38)</f>
        <v>0</v>
      </c>
      <c r="AE6" s="538" t="s">
        <v>137</v>
      </c>
      <c r="AF6" s="851" t="s">
        <v>138</v>
      </c>
      <c r="AG6" s="852"/>
      <c r="AH6" s="852"/>
      <c r="AI6" s="515"/>
      <c r="AJ6" s="59">
        <f>IF(SUM(AG64:AK64)=0,0,SUM(AG64:AK64)/Нормы!$G$38)</f>
        <v>0</v>
      </c>
      <c r="AK6" s="538" t="s">
        <v>137</v>
      </c>
      <c r="AL6" s="851" t="s">
        <v>138</v>
      </c>
      <c r="AM6" s="852"/>
      <c r="AN6" s="852"/>
      <c r="AO6" s="515"/>
      <c r="AP6" s="59">
        <f>IF(SUM(AM64:AQ64)=0,0,SUM(AM64:AQ64)/Нормы!$G$38)</f>
        <v>4</v>
      </c>
      <c r="AQ6" s="538" t="s">
        <v>137</v>
      </c>
      <c r="AR6" s="516"/>
      <c r="AS6" s="871" t="s">
        <v>138</v>
      </c>
      <c r="AT6" s="871"/>
      <c r="AU6" s="871"/>
      <c r="AV6" s="871"/>
      <c r="AW6" s="871"/>
      <c r="AX6" s="59">
        <f>IF(SUM(AS64:AY64)=0,0,SUM(AS64:AY64)/Нормы!$G$38)</f>
        <v>0</v>
      </c>
      <c r="AY6" s="60" t="s">
        <v>137</v>
      </c>
      <c r="AZ6" s="866"/>
      <c r="BA6" s="866"/>
    </row>
    <row r="7" spans="1:53" s="55" customFormat="1" ht="180.75" x14ac:dyDescent="0.2">
      <c r="A7" s="881"/>
      <c r="B7" s="886"/>
      <c r="C7" s="880"/>
      <c r="D7" s="861"/>
      <c r="E7" s="688"/>
      <c r="F7" s="508" t="s">
        <v>64</v>
      </c>
      <c r="G7" s="688"/>
      <c r="H7" s="690"/>
      <c r="I7" s="399"/>
      <c r="J7" s="864"/>
      <c r="K7" s="579" t="s">
        <v>168</v>
      </c>
      <c r="L7" s="579" t="s">
        <v>236</v>
      </c>
      <c r="M7" s="718"/>
      <c r="N7" s="719"/>
      <c r="O7" s="699"/>
      <c r="P7" s="699"/>
      <c r="Q7" s="699"/>
      <c r="R7" s="699"/>
      <c r="S7" s="756"/>
      <c r="T7" s="580" t="s">
        <v>128</v>
      </c>
      <c r="U7" s="581" t="s">
        <v>568</v>
      </c>
      <c r="V7" s="582" t="s">
        <v>571</v>
      </c>
      <c r="W7" s="582" t="s">
        <v>215</v>
      </c>
      <c r="X7" s="582" t="s">
        <v>278</v>
      </c>
      <c r="Y7" s="582" t="s">
        <v>70</v>
      </c>
      <c r="Z7" s="580" t="s">
        <v>128</v>
      </c>
      <c r="AA7" s="581" t="s">
        <v>568</v>
      </c>
      <c r="AB7" s="582" t="s">
        <v>571</v>
      </c>
      <c r="AC7" s="582" t="s">
        <v>215</v>
      </c>
      <c r="AD7" s="582" t="s">
        <v>278</v>
      </c>
      <c r="AE7" s="582" t="s">
        <v>70</v>
      </c>
      <c r="AF7" s="580" t="s">
        <v>128</v>
      </c>
      <c r="AG7" s="581" t="s">
        <v>568</v>
      </c>
      <c r="AH7" s="582" t="s">
        <v>571</v>
      </c>
      <c r="AI7" s="582" t="s">
        <v>215</v>
      </c>
      <c r="AJ7" s="582" t="s">
        <v>278</v>
      </c>
      <c r="AK7" s="582" t="s">
        <v>70</v>
      </c>
      <c r="AL7" s="580" t="s">
        <v>128</v>
      </c>
      <c r="AM7" s="581" t="s">
        <v>568</v>
      </c>
      <c r="AN7" s="582" t="s">
        <v>571</v>
      </c>
      <c r="AO7" s="582" t="s">
        <v>215</v>
      </c>
      <c r="AP7" s="582" t="s">
        <v>278</v>
      </c>
      <c r="AQ7" s="582" t="s">
        <v>70</v>
      </c>
      <c r="AR7" s="511" t="s">
        <v>128</v>
      </c>
      <c r="AS7" s="290" t="s">
        <v>276</v>
      </c>
      <c r="AT7" s="290" t="s">
        <v>277</v>
      </c>
      <c r="AU7" s="290" t="s">
        <v>69</v>
      </c>
      <c r="AV7" s="290" t="s">
        <v>215</v>
      </c>
      <c r="AW7" s="290" t="s">
        <v>278</v>
      </c>
      <c r="AX7" s="290" t="s">
        <v>140</v>
      </c>
      <c r="AY7" s="298" t="s">
        <v>70</v>
      </c>
      <c r="AZ7" s="867"/>
      <c r="BA7" s="867"/>
    </row>
    <row r="8" spans="1:53" s="55" customFormat="1" x14ac:dyDescent="0.2">
      <c r="A8" s="548">
        <v>1</v>
      </c>
      <c r="B8" s="548">
        <v>2</v>
      </c>
      <c r="C8" s="548">
        <v>3</v>
      </c>
      <c r="D8" s="548">
        <v>4</v>
      </c>
      <c r="E8" s="548">
        <v>5</v>
      </c>
      <c r="F8" s="548"/>
      <c r="G8" s="548">
        <v>7</v>
      </c>
      <c r="H8" s="548">
        <v>8</v>
      </c>
      <c r="I8" s="548"/>
      <c r="J8" s="548"/>
      <c r="K8" s="548">
        <v>9</v>
      </c>
      <c r="L8" s="548">
        <v>10</v>
      </c>
      <c r="M8" s="548">
        <v>11</v>
      </c>
      <c r="N8" s="548">
        <v>12</v>
      </c>
      <c r="O8" s="548">
        <v>14</v>
      </c>
      <c r="P8" s="548">
        <v>15</v>
      </c>
      <c r="Q8" s="548">
        <v>16</v>
      </c>
      <c r="R8" s="548">
        <v>17</v>
      </c>
      <c r="S8" s="548">
        <v>19</v>
      </c>
      <c r="T8" s="548">
        <v>21</v>
      </c>
      <c r="U8" s="548">
        <v>23</v>
      </c>
      <c r="V8" s="548">
        <v>24</v>
      </c>
      <c r="W8" s="548">
        <v>25</v>
      </c>
      <c r="X8" s="548">
        <v>26</v>
      </c>
      <c r="Y8" s="548">
        <v>28</v>
      </c>
      <c r="Z8" s="548">
        <v>21</v>
      </c>
      <c r="AA8" s="548">
        <v>23</v>
      </c>
      <c r="AB8" s="548">
        <v>24</v>
      </c>
      <c r="AC8" s="548">
        <v>25</v>
      </c>
      <c r="AD8" s="548">
        <v>26</v>
      </c>
      <c r="AE8" s="548">
        <v>28</v>
      </c>
      <c r="AF8" s="548">
        <v>29</v>
      </c>
      <c r="AG8" s="548">
        <v>31</v>
      </c>
      <c r="AH8" s="548">
        <v>32</v>
      </c>
      <c r="AI8" s="548">
        <v>33</v>
      </c>
      <c r="AJ8" s="548">
        <v>34</v>
      </c>
      <c r="AK8" s="548">
        <v>36</v>
      </c>
      <c r="AL8" s="548">
        <v>37</v>
      </c>
      <c r="AM8" s="548">
        <v>39</v>
      </c>
      <c r="AN8" s="548">
        <v>40</v>
      </c>
      <c r="AO8" s="548">
        <v>41</v>
      </c>
      <c r="AP8" s="548">
        <v>42</v>
      </c>
      <c r="AQ8" s="548">
        <v>44</v>
      </c>
      <c r="AR8" s="548">
        <v>45</v>
      </c>
      <c r="AS8" s="548">
        <v>46</v>
      </c>
      <c r="AT8" s="548">
        <v>47</v>
      </c>
      <c r="AU8" s="548">
        <v>48</v>
      </c>
      <c r="AV8" s="548">
        <v>49</v>
      </c>
      <c r="AW8" s="548">
        <v>50</v>
      </c>
      <c r="AX8" s="548">
        <v>51</v>
      </c>
      <c r="AY8" s="548">
        <v>52</v>
      </c>
      <c r="AZ8" s="548">
        <v>53</v>
      </c>
      <c r="BA8" s="548">
        <v>54</v>
      </c>
    </row>
    <row r="9" spans="1:53" ht="26.1" customHeight="1" x14ac:dyDescent="0.2">
      <c r="A9" s="549"/>
      <c r="B9" s="713" t="str">
        <f>'Учебный план'!B27:C27</f>
        <v>Обязательная часть циклов ППССЗ</v>
      </c>
      <c r="C9" s="713"/>
      <c r="D9" s="299"/>
      <c r="E9" s="299"/>
      <c r="F9" s="299"/>
      <c r="G9" s="299"/>
      <c r="H9" s="299"/>
      <c r="I9" s="299"/>
      <c r="J9" s="299"/>
      <c r="K9" s="550">
        <f>'Учебный план'!K27</f>
        <v>3858</v>
      </c>
      <c r="L9" s="550">
        <f>'Учебный план'!L27</f>
        <v>2575</v>
      </c>
      <c r="M9" s="550">
        <f t="shared" ref="M9:AY9" si="0">SUM(M10+M15+M19)</f>
        <v>2963</v>
      </c>
      <c r="N9" s="550">
        <f t="shared" si="0"/>
        <v>434</v>
      </c>
      <c r="O9" s="550">
        <f t="shared" si="0"/>
        <v>314</v>
      </c>
      <c r="P9" s="550">
        <f t="shared" si="0"/>
        <v>90</v>
      </c>
      <c r="Q9" s="550">
        <f t="shared" si="0"/>
        <v>30</v>
      </c>
      <c r="R9" s="550">
        <f t="shared" si="0"/>
        <v>0</v>
      </c>
      <c r="S9" s="550">
        <f t="shared" si="0"/>
        <v>2529</v>
      </c>
      <c r="T9" s="550">
        <f t="shared" ref="T9:Y9" si="1">SUM(T10+T15+T19)</f>
        <v>897</v>
      </c>
      <c r="U9" s="550">
        <f t="shared" si="1"/>
        <v>114</v>
      </c>
      <c r="V9" s="550">
        <f t="shared" si="1"/>
        <v>38</v>
      </c>
      <c r="W9" s="550">
        <f t="shared" si="1"/>
        <v>0</v>
      </c>
      <c r="X9" s="550">
        <f t="shared" si="1"/>
        <v>0</v>
      </c>
      <c r="Y9" s="550">
        <f t="shared" si="1"/>
        <v>745</v>
      </c>
      <c r="Z9" s="550">
        <f t="shared" si="0"/>
        <v>923</v>
      </c>
      <c r="AA9" s="550">
        <f t="shared" si="0"/>
        <v>132</v>
      </c>
      <c r="AB9" s="550">
        <f t="shared" si="0"/>
        <v>28</v>
      </c>
      <c r="AC9" s="550">
        <f t="shared" si="0"/>
        <v>0</v>
      </c>
      <c r="AD9" s="550">
        <f t="shared" si="0"/>
        <v>0</v>
      </c>
      <c r="AE9" s="550">
        <f t="shared" si="0"/>
        <v>763</v>
      </c>
      <c r="AF9" s="550">
        <f t="shared" si="0"/>
        <v>928</v>
      </c>
      <c r="AG9" s="550">
        <f t="shared" si="0"/>
        <v>80</v>
      </c>
      <c r="AH9" s="550">
        <f t="shared" si="0"/>
        <v>14</v>
      </c>
      <c r="AI9" s="550">
        <f t="shared" si="0"/>
        <v>30</v>
      </c>
      <c r="AJ9" s="550">
        <f t="shared" si="0"/>
        <v>0</v>
      </c>
      <c r="AK9" s="550">
        <f t="shared" si="0"/>
        <v>804</v>
      </c>
      <c r="AL9" s="550">
        <f t="shared" si="0"/>
        <v>1112</v>
      </c>
      <c r="AM9" s="550">
        <f t="shared" si="0"/>
        <v>102</v>
      </c>
      <c r="AN9" s="550">
        <f t="shared" si="0"/>
        <v>48</v>
      </c>
      <c r="AO9" s="550">
        <f t="shared" si="0"/>
        <v>0</v>
      </c>
      <c r="AP9" s="550">
        <f t="shared" si="0"/>
        <v>0</v>
      </c>
      <c r="AQ9" s="550">
        <f t="shared" si="0"/>
        <v>962</v>
      </c>
      <c r="AR9" s="550">
        <f t="shared" si="0"/>
        <v>0</v>
      </c>
      <c r="AS9" s="550">
        <f t="shared" si="0"/>
        <v>0</v>
      </c>
      <c r="AT9" s="550">
        <f>SUM(AT10+AT15+AT19)</f>
        <v>0</v>
      </c>
      <c r="AU9" s="550">
        <f t="shared" si="0"/>
        <v>0</v>
      </c>
      <c r="AV9" s="550">
        <f t="shared" si="0"/>
        <v>0</v>
      </c>
      <c r="AW9" s="550">
        <f t="shared" si="0"/>
        <v>0</v>
      </c>
      <c r="AX9" s="550">
        <f t="shared" si="0"/>
        <v>0</v>
      </c>
      <c r="AY9" s="550">
        <f t="shared" si="0"/>
        <v>0</v>
      </c>
      <c r="AZ9" s="299"/>
      <c r="BA9" s="299"/>
    </row>
    <row r="10" spans="1:53" s="195" customFormat="1" ht="26.1" customHeight="1" x14ac:dyDescent="0.2">
      <c r="A10" s="551" t="str">
        <f>'Учебный план'!A28</f>
        <v>ОГСЭ.00</v>
      </c>
      <c r="B10" s="712" t="s">
        <v>162</v>
      </c>
      <c r="C10" s="712"/>
      <c r="D10" s="301"/>
      <c r="E10" s="301"/>
      <c r="F10" s="301"/>
      <c r="G10" s="301"/>
      <c r="H10" s="301"/>
      <c r="I10" s="301"/>
      <c r="J10" s="301"/>
      <c r="K10" s="552">
        <f>'Учебный план'!K28</f>
        <v>612</v>
      </c>
      <c r="L10" s="552">
        <f>'Учебный план'!L28</f>
        <v>408</v>
      </c>
      <c r="M10" s="302">
        <f t="shared" ref="M10:M30" si="2">SUM(N10+S10)</f>
        <v>364</v>
      </c>
      <c r="N10" s="302">
        <f t="shared" ref="N10:N30" si="3">SUM(O10:R10)</f>
        <v>28</v>
      </c>
      <c r="O10" s="302">
        <f>AA10+AG10+AM10+AT10</f>
        <v>0</v>
      </c>
      <c r="P10" s="302">
        <f>AB10+AH10+AN10+AU10</f>
        <v>28</v>
      </c>
      <c r="Q10" s="302">
        <f>AC10+AI10+AO10+AV10</f>
        <v>0</v>
      </c>
      <c r="R10" s="302">
        <f>AD10+AJ10+AP10+AW10</f>
        <v>0</v>
      </c>
      <c r="S10" s="302">
        <f>AE10+AK10+AQ10+AY10</f>
        <v>336</v>
      </c>
      <c r="T10" s="552">
        <f t="shared" ref="T10:Y10" si="4">SUM(T11:T14)</f>
        <v>250</v>
      </c>
      <c r="U10" s="552">
        <f t="shared" si="4"/>
        <v>26</v>
      </c>
      <c r="V10" s="552">
        <f t="shared" si="4"/>
        <v>10</v>
      </c>
      <c r="W10" s="552">
        <f t="shared" si="4"/>
        <v>0</v>
      </c>
      <c r="X10" s="552">
        <f t="shared" si="4"/>
        <v>0</v>
      </c>
      <c r="Y10" s="552">
        <f t="shared" si="4"/>
        <v>214</v>
      </c>
      <c r="Z10" s="552">
        <f t="shared" ref="Z10:AY10" si="5">SUM(Z11:Z14)</f>
        <v>122</v>
      </c>
      <c r="AA10" s="552">
        <f t="shared" si="5"/>
        <v>0</v>
      </c>
      <c r="AB10" s="552">
        <f t="shared" si="5"/>
        <v>10</v>
      </c>
      <c r="AC10" s="552">
        <f t="shared" si="5"/>
        <v>0</v>
      </c>
      <c r="AD10" s="552">
        <f t="shared" si="5"/>
        <v>0</v>
      </c>
      <c r="AE10" s="552">
        <f t="shared" si="5"/>
        <v>112</v>
      </c>
      <c r="AF10" s="552">
        <f t="shared" si="5"/>
        <v>122</v>
      </c>
      <c r="AG10" s="552">
        <f t="shared" si="5"/>
        <v>0</v>
      </c>
      <c r="AH10" s="552">
        <f t="shared" si="5"/>
        <v>10</v>
      </c>
      <c r="AI10" s="552">
        <f t="shared" si="5"/>
        <v>0</v>
      </c>
      <c r="AJ10" s="552">
        <f t="shared" si="5"/>
        <v>0</v>
      </c>
      <c r="AK10" s="552">
        <f t="shared" si="5"/>
        <v>112</v>
      </c>
      <c r="AL10" s="552">
        <f t="shared" si="5"/>
        <v>120</v>
      </c>
      <c r="AM10" s="552">
        <f t="shared" si="5"/>
        <v>0</v>
      </c>
      <c r="AN10" s="552">
        <f t="shared" si="5"/>
        <v>8</v>
      </c>
      <c r="AO10" s="552">
        <f t="shared" si="5"/>
        <v>0</v>
      </c>
      <c r="AP10" s="552">
        <f t="shared" si="5"/>
        <v>0</v>
      </c>
      <c r="AQ10" s="552">
        <f t="shared" si="5"/>
        <v>112</v>
      </c>
      <c r="AR10" s="552">
        <f t="shared" si="5"/>
        <v>0</v>
      </c>
      <c r="AS10" s="552">
        <f t="shared" si="5"/>
        <v>0</v>
      </c>
      <c r="AT10" s="552">
        <f t="shared" si="5"/>
        <v>0</v>
      </c>
      <c r="AU10" s="552">
        <f t="shared" si="5"/>
        <v>0</v>
      </c>
      <c r="AV10" s="552">
        <f t="shared" si="5"/>
        <v>0</v>
      </c>
      <c r="AW10" s="552">
        <f t="shared" si="5"/>
        <v>0</v>
      </c>
      <c r="AX10" s="552">
        <f t="shared" si="5"/>
        <v>0</v>
      </c>
      <c r="AY10" s="552">
        <f t="shared" si="5"/>
        <v>0</v>
      </c>
      <c r="AZ10" s="553">
        <f>'Учебный план'!CD28</f>
        <v>0</v>
      </c>
      <c r="BA10" s="553">
        <f>'Учебный план'!CE28</f>
        <v>0</v>
      </c>
    </row>
    <row r="11" spans="1:53" s="229" customFormat="1" ht="26.1" customHeight="1" x14ac:dyDescent="0.2">
      <c r="A11" s="554" t="str">
        <f>'Учебный план'!A29</f>
        <v>ОГСЭ.01</v>
      </c>
      <c r="B11" s="554" t="str">
        <f>'Учебный план'!B29</f>
        <v>Основы философии</v>
      </c>
      <c r="C11" s="134"/>
      <c r="D11" s="135"/>
      <c r="E11" s="135" t="s">
        <v>27</v>
      </c>
      <c r="F11" s="135"/>
      <c r="G11" s="135"/>
      <c r="H11" s="135"/>
      <c r="I11" s="139">
        <f>K11-M11</f>
        <v>0</v>
      </c>
      <c r="J11" s="135">
        <f>L11*$J$1</f>
        <v>14.4</v>
      </c>
      <c r="K11" s="555">
        <f>'Учебный план'!K29</f>
        <v>60</v>
      </c>
      <c r="L11" s="555">
        <f>'Учебный план'!L29</f>
        <v>48</v>
      </c>
      <c r="M11" s="138">
        <f t="shared" si="2"/>
        <v>60</v>
      </c>
      <c r="N11" s="138">
        <f t="shared" si="3"/>
        <v>12</v>
      </c>
      <c r="O11" s="138">
        <f t="shared" ref="O11:Q13" si="6">AA11+AG11+AM11+AT11+U11</f>
        <v>12</v>
      </c>
      <c r="P11" s="138">
        <f t="shared" si="6"/>
        <v>0</v>
      </c>
      <c r="Q11" s="138">
        <f t="shared" si="6"/>
        <v>0</v>
      </c>
      <c r="R11" s="138">
        <f t="shared" ref="R11:R30" si="7">AD11+AJ11+AP11+AW11</f>
        <v>0</v>
      </c>
      <c r="S11" s="138">
        <f>AE11+AK11+AQ11+AY11+Y11</f>
        <v>48</v>
      </c>
      <c r="T11" s="253">
        <f>SUM(U11:Y11)</f>
        <v>60</v>
      </c>
      <c r="U11" s="139">
        <v>12</v>
      </c>
      <c r="V11" s="139"/>
      <c r="W11" s="139"/>
      <c r="X11" s="139"/>
      <c r="Y11" s="139">
        <v>48</v>
      </c>
      <c r="Z11" s="253">
        <f>SUM(AA11:AE11)</f>
        <v>0</v>
      </c>
      <c r="AA11" s="139"/>
      <c r="AB11" s="139"/>
      <c r="AC11" s="139"/>
      <c r="AD11" s="139"/>
      <c r="AE11" s="139"/>
      <c r="AF11" s="253">
        <f>SUM(AG11:AK11)</f>
        <v>0</v>
      </c>
      <c r="AG11" s="139"/>
      <c r="AH11" s="139"/>
      <c r="AI11" s="139"/>
      <c r="AJ11" s="139"/>
      <c r="AK11" s="139"/>
      <c r="AL11" s="253">
        <f>SUM(AM11:AQ11)</f>
        <v>0</v>
      </c>
      <c r="AM11" s="139"/>
      <c r="AN11" s="139"/>
      <c r="AO11" s="139"/>
      <c r="AP11" s="139"/>
      <c r="AQ11" s="139"/>
      <c r="AR11" s="253">
        <f>SUM(AS11:AY11)</f>
        <v>0</v>
      </c>
      <c r="AS11" s="139"/>
      <c r="AT11" s="139"/>
      <c r="AU11" s="139"/>
      <c r="AV11" s="139"/>
      <c r="AW11" s="139"/>
      <c r="AX11" s="139"/>
      <c r="AY11" s="139"/>
      <c r="AZ11" s="556" t="str">
        <f>'Учебный план'!CD29</f>
        <v>64-1</v>
      </c>
      <c r="BA11" s="556" t="str">
        <f>'Учебный план'!CE29</f>
        <v>ОК 1-10</v>
      </c>
    </row>
    <row r="12" spans="1:53" s="229" customFormat="1" ht="26.1" customHeight="1" x14ac:dyDescent="0.2">
      <c r="A12" s="554" t="str">
        <f>'Учебный план'!A30</f>
        <v>ОГСЭ.02</v>
      </c>
      <c r="B12" s="554" t="str">
        <f>'Учебный план'!B30</f>
        <v>История</v>
      </c>
      <c r="C12" s="134"/>
      <c r="D12" s="135" t="s">
        <v>27</v>
      </c>
      <c r="E12" s="135"/>
      <c r="F12" s="135"/>
      <c r="G12" s="135"/>
      <c r="H12" s="135"/>
      <c r="I12" s="139">
        <f t="shared" ref="I12:I14" si="8">K12-M12</f>
        <v>0</v>
      </c>
      <c r="J12" s="135">
        <f t="shared" ref="J12:J14" si="9">L12*$J$1</f>
        <v>14.4</v>
      </c>
      <c r="K12" s="555">
        <f>'Учебный план'!K30</f>
        <v>66</v>
      </c>
      <c r="L12" s="555">
        <f>'Учебный план'!L30</f>
        <v>48</v>
      </c>
      <c r="M12" s="138">
        <f t="shared" si="2"/>
        <v>66</v>
      </c>
      <c r="N12" s="138">
        <f t="shared" si="3"/>
        <v>12</v>
      </c>
      <c r="O12" s="138">
        <f t="shared" si="6"/>
        <v>12</v>
      </c>
      <c r="P12" s="138">
        <f t="shared" si="6"/>
        <v>0</v>
      </c>
      <c r="Q12" s="138">
        <f t="shared" si="6"/>
        <v>0</v>
      </c>
      <c r="R12" s="138">
        <f t="shared" si="7"/>
        <v>0</v>
      </c>
      <c r="S12" s="138">
        <f>AE12+AK12+AQ12+AY12+Y12</f>
        <v>54</v>
      </c>
      <c r="T12" s="253">
        <f>SUM(U12:Y12)</f>
        <v>66</v>
      </c>
      <c r="U12" s="139">
        <v>12</v>
      </c>
      <c r="V12" s="139"/>
      <c r="W12" s="139"/>
      <c r="X12" s="139"/>
      <c r="Y12" s="139">
        <v>54</v>
      </c>
      <c r="Z12" s="253">
        <f>SUM(AA12:AE12)</f>
        <v>0</v>
      </c>
      <c r="AA12" s="139"/>
      <c r="AB12" s="139"/>
      <c r="AC12" s="139"/>
      <c r="AD12" s="139"/>
      <c r="AE12" s="139"/>
      <c r="AF12" s="253">
        <f>SUM(AG12:AK12)</f>
        <v>0</v>
      </c>
      <c r="AG12" s="139"/>
      <c r="AH12" s="139"/>
      <c r="AI12" s="139"/>
      <c r="AJ12" s="139"/>
      <c r="AK12" s="139"/>
      <c r="AL12" s="253">
        <f>SUM(AM12:AQ12)</f>
        <v>0</v>
      </c>
      <c r="AM12" s="139"/>
      <c r="AN12" s="139"/>
      <c r="AO12" s="139"/>
      <c r="AP12" s="139"/>
      <c r="AQ12" s="139"/>
      <c r="AR12" s="253">
        <f t="shared" ref="AR12:AR59" si="10">SUM(AS12:AY12)</f>
        <v>0</v>
      </c>
      <c r="AS12" s="139"/>
      <c r="AT12" s="139"/>
      <c r="AU12" s="139"/>
      <c r="AV12" s="139"/>
      <c r="AW12" s="139"/>
      <c r="AX12" s="139"/>
      <c r="AY12" s="139"/>
      <c r="AZ12" s="556" t="str">
        <f>'Учебный план'!CD30</f>
        <v>64-1</v>
      </c>
      <c r="BA12" s="556" t="str">
        <f>'Учебный план'!CE30</f>
        <v>ОК 1-10</v>
      </c>
    </row>
    <row r="13" spans="1:53" s="229" customFormat="1" ht="26.1" customHeight="1" x14ac:dyDescent="0.2">
      <c r="A13" s="554" t="str">
        <f>'Учебный план'!A31</f>
        <v>ОГСЭ.03</v>
      </c>
      <c r="B13" s="554" t="str">
        <f>'Учебный план'!B31</f>
        <v>Иностранный язык</v>
      </c>
      <c r="C13" s="134"/>
      <c r="D13" s="135"/>
      <c r="E13" s="135" t="s">
        <v>551</v>
      </c>
      <c r="F13" s="135"/>
      <c r="G13" s="135"/>
      <c r="H13" s="135"/>
      <c r="I13" s="139">
        <f t="shared" si="8"/>
        <v>0</v>
      </c>
      <c r="J13" s="135">
        <f t="shared" si="9"/>
        <v>46.8</v>
      </c>
      <c r="K13" s="555">
        <f>'Учебный план'!K31</f>
        <v>174</v>
      </c>
      <c r="L13" s="555">
        <f>'Учебный план'!L31</f>
        <v>156</v>
      </c>
      <c r="M13" s="138">
        <f t="shared" si="2"/>
        <v>174</v>
      </c>
      <c r="N13" s="138">
        <f t="shared" si="3"/>
        <v>38</v>
      </c>
      <c r="O13" s="138">
        <f t="shared" si="6"/>
        <v>0</v>
      </c>
      <c r="P13" s="138">
        <f t="shared" si="6"/>
        <v>38</v>
      </c>
      <c r="Q13" s="138">
        <f t="shared" si="6"/>
        <v>0</v>
      </c>
      <c r="R13" s="138">
        <f t="shared" si="7"/>
        <v>0</v>
      </c>
      <c r="S13" s="138">
        <f>AE13+AK13+AQ13+AY13+Y13</f>
        <v>136</v>
      </c>
      <c r="T13" s="253">
        <f>SUM(U13:Y13)</f>
        <v>44</v>
      </c>
      <c r="U13" s="139"/>
      <c r="V13" s="139">
        <v>10</v>
      </c>
      <c r="W13" s="139"/>
      <c r="X13" s="139"/>
      <c r="Y13" s="139">
        <v>34</v>
      </c>
      <c r="Z13" s="253">
        <f>SUM(AA13:AE13)</f>
        <v>44</v>
      </c>
      <c r="AA13" s="139"/>
      <c r="AB13" s="139">
        <v>10</v>
      </c>
      <c r="AC13" s="139"/>
      <c r="AD13" s="139"/>
      <c r="AE13" s="139">
        <v>34</v>
      </c>
      <c r="AF13" s="253">
        <f>SUM(AG13:AK13)</f>
        <v>44</v>
      </c>
      <c r="AG13" s="139"/>
      <c r="AH13" s="139">
        <v>10</v>
      </c>
      <c r="AI13" s="139"/>
      <c r="AJ13" s="139"/>
      <c r="AK13" s="139">
        <v>34</v>
      </c>
      <c r="AL13" s="253">
        <f>SUM(AM13:AQ13)</f>
        <v>42</v>
      </c>
      <c r="AM13" s="139"/>
      <c r="AN13" s="139">
        <v>8</v>
      </c>
      <c r="AO13" s="139"/>
      <c r="AP13" s="139"/>
      <c r="AQ13" s="139">
        <v>34</v>
      </c>
      <c r="AR13" s="253">
        <f t="shared" si="10"/>
        <v>0</v>
      </c>
      <c r="AS13" s="139"/>
      <c r="AT13" s="139"/>
      <c r="AU13" s="139"/>
      <c r="AV13" s="139"/>
      <c r="AW13" s="139"/>
      <c r="AX13" s="139"/>
      <c r="AY13" s="139"/>
      <c r="AZ13" s="556" t="str">
        <f>'Учебный план'!CD31</f>
        <v>64-1</v>
      </c>
      <c r="BA13" s="556" t="str">
        <f>'Учебный план'!CE31</f>
        <v>ОК 1-10</v>
      </c>
    </row>
    <row r="14" spans="1:53" s="229" customFormat="1" ht="26.1" customHeight="1" x14ac:dyDescent="0.2">
      <c r="A14" s="554" t="str">
        <f>'Учебный план'!A32</f>
        <v>ОГСЭ.04</v>
      </c>
      <c r="B14" s="554" t="str">
        <f>'Учебный план'!B32</f>
        <v>Физическая культура</v>
      </c>
      <c r="C14" s="134"/>
      <c r="D14" s="135"/>
      <c r="E14" s="135"/>
      <c r="F14" s="135" t="s">
        <v>39</v>
      </c>
      <c r="G14" s="135"/>
      <c r="H14" s="135"/>
      <c r="I14" s="139">
        <f t="shared" si="8"/>
        <v>0</v>
      </c>
      <c r="J14" s="135">
        <f t="shared" si="9"/>
        <v>46.8</v>
      </c>
      <c r="K14" s="555">
        <f>'Учебный план'!K32</f>
        <v>312</v>
      </c>
      <c r="L14" s="555">
        <f>'Учебный план'!L32</f>
        <v>156</v>
      </c>
      <c r="M14" s="138">
        <f t="shared" si="2"/>
        <v>312</v>
      </c>
      <c r="N14" s="138">
        <f t="shared" si="3"/>
        <v>0</v>
      </c>
      <c r="O14" s="138">
        <f>AA14+AG14+AM14+AT14</f>
        <v>0</v>
      </c>
      <c r="P14" s="138">
        <f>AB14+AH14+AN14+AU14</f>
        <v>0</v>
      </c>
      <c r="Q14" s="138">
        <f>AC14+AI14+AO14+AV14+W14</f>
        <v>0</v>
      </c>
      <c r="R14" s="138">
        <f t="shared" si="7"/>
        <v>0</v>
      </c>
      <c r="S14" s="138">
        <f>AE14+AK14+AQ14+AY14+Y14</f>
        <v>312</v>
      </c>
      <c r="T14" s="253">
        <f>SUM(U14:Y14)</f>
        <v>80</v>
      </c>
      <c r="U14" s="139">
        <v>2</v>
      </c>
      <c r="V14" s="139"/>
      <c r="W14" s="139"/>
      <c r="X14" s="139"/>
      <c r="Y14" s="139">
        <v>78</v>
      </c>
      <c r="Z14" s="253">
        <f>SUM(AA14:AE14)</f>
        <v>78</v>
      </c>
      <c r="AA14" s="139"/>
      <c r="AB14" s="139"/>
      <c r="AC14" s="139"/>
      <c r="AD14" s="139"/>
      <c r="AE14" s="139">
        <v>78</v>
      </c>
      <c r="AF14" s="253">
        <f>SUM(AG14:AK14)</f>
        <v>78</v>
      </c>
      <c r="AG14" s="139"/>
      <c r="AH14" s="139"/>
      <c r="AI14" s="139"/>
      <c r="AJ14" s="139"/>
      <c r="AK14" s="139">
        <v>78</v>
      </c>
      <c r="AL14" s="253">
        <f>SUM(AM14:AQ14)</f>
        <v>78</v>
      </c>
      <c r="AM14" s="139"/>
      <c r="AN14" s="139"/>
      <c r="AO14" s="139"/>
      <c r="AP14" s="139"/>
      <c r="AQ14" s="139">
        <v>78</v>
      </c>
      <c r="AR14" s="253">
        <f t="shared" si="10"/>
        <v>0</v>
      </c>
      <c r="AS14" s="139"/>
      <c r="AT14" s="139"/>
      <c r="AU14" s="139"/>
      <c r="AV14" s="139"/>
      <c r="AW14" s="139"/>
      <c r="AX14" s="139"/>
      <c r="AY14" s="139"/>
      <c r="AZ14" s="556" t="str">
        <f>'Учебный план'!CD32</f>
        <v>33</v>
      </c>
      <c r="BA14" s="556" t="str">
        <f>'Учебный план'!CE32</f>
        <v>ОК 2,3,6,7</v>
      </c>
    </row>
    <row r="15" spans="1:53" s="195" customFormat="1" ht="26.1" customHeight="1" x14ac:dyDescent="0.2">
      <c r="A15" s="557" t="str">
        <f>'Учебный план'!A33</f>
        <v>ЕН.00</v>
      </c>
      <c r="B15" s="712" t="str">
        <f>'Учебный план'!B33:H33</f>
        <v>Математический и общий естественнонаучный цикл</v>
      </c>
      <c r="C15" s="712"/>
      <c r="D15" s="712"/>
      <c r="E15" s="712"/>
      <c r="F15" s="712"/>
      <c r="G15" s="712"/>
      <c r="H15" s="712"/>
      <c r="I15" s="557"/>
      <c r="J15" s="557"/>
      <c r="K15" s="552">
        <f>'Учебный план'!K33</f>
        <v>168</v>
      </c>
      <c r="L15" s="552">
        <f>'Учебный план'!L33</f>
        <v>112</v>
      </c>
      <c r="M15" s="302">
        <f t="shared" si="2"/>
        <v>48</v>
      </c>
      <c r="N15" s="302">
        <f t="shared" si="3"/>
        <v>8</v>
      </c>
      <c r="O15" s="302">
        <f>AA15+AG15+AM15+AT15</f>
        <v>8</v>
      </c>
      <c r="P15" s="302">
        <f>AB15+AH15+AN15+AU15</f>
        <v>0</v>
      </c>
      <c r="Q15" s="302">
        <f>AC15+AI15+AO15+AV15</f>
        <v>0</v>
      </c>
      <c r="R15" s="302">
        <f t="shared" si="7"/>
        <v>0</v>
      </c>
      <c r="S15" s="302">
        <f>AE15+AK15+AQ15+AY15</f>
        <v>40</v>
      </c>
      <c r="T15" s="552">
        <f>SUM(T16:T18)</f>
        <v>120</v>
      </c>
      <c r="U15" s="552">
        <f t="shared" ref="U15:Y15" si="11">SUM(U16:U18)</f>
        <v>16</v>
      </c>
      <c r="V15" s="552">
        <f t="shared" si="11"/>
        <v>8</v>
      </c>
      <c r="W15" s="552">
        <f t="shared" si="11"/>
        <v>0</v>
      </c>
      <c r="X15" s="552">
        <f t="shared" si="11"/>
        <v>0</v>
      </c>
      <c r="Y15" s="552">
        <f t="shared" si="11"/>
        <v>96</v>
      </c>
      <c r="Z15" s="552">
        <f>SUM(Z16:Z18)</f>
        <v>0</v>
      </c>
      <c r="AA15" s="552">
        <f t="shared" ref="AA15:AE15" si="12">SUM(AA16:AA18)</f>
        <v>0</v>
      </c>
      <c r="AB15" s="552">
        <f t="shared" si="12"/>
        <v>0</v>
      </c>
      <c r="AC15" s="552">
        <f t="shared" si="12"/>
        <v>0</v>
      </c>
      <c r="AD15" s="552">
        <f t="shared" si="12"/>
        <v>0</v>
      </c>
      <c r="AE15" s="552">
        <f t="shared" si="12"/>
        <v>0</v>
      </c>
      <c r="AF15" s="552">
        <f>SUM(AF16:AF18)</f>
        <v>48</v>
      </c>
      <c r="AG15" s="552">
        <f t="shared" ref="AG15:AK15" si="13">SUM(AG16:AG18)</f>
        <v>8</v>
      </c>
      <c r="AH15" s="552">
        <f t="shared" si="13"/>
        <v>0</v>
      </c>
      <c r="AI15" s="552">
        <f t="shared" si="13"/>
        <v>0</v>
      </c>
      <c r="AJ15" s="552">
        <f t="shared" si="13"/>
        <v>0</v>
      </c>
      <c r="AK15" s="552">
        <f t="shared" si="13"/>
        <v>40</v>
      </c>
      <c r="AL15" s="552">
        <f>SUM(AL16:AL18)</f>
        <v>0</v>
      </c>
      <c r="AM15" s="552">
        <f t="shared" ref="AM15:AQ15" si="14">SUM(AM16:AM18)</f>
        <v>0</v>
      </c>
      <c r="AN15" s="552">
        <f t="shared" si="14"/>
        <v>0</v>
      </c>
      <c r="AO15" s="552">
        <f t="shared" si="14"/>
        <v>0</v>
      </c>
      <c r="AP15" s="552">
        <f t="shared" si="14"/>
        <v>0</v>
      </c>
      <c r="AQ15" s="552">
        <f t="shared" si="14"/>
        <v>0</v>
      </c>
      <c r="AR15" s="552">
        <f>SUM(AR16:AR18)</f>
        <v>0</v>
      </c>
      <c r="AS15" s="552">
        <f t="shared" ref="AS15:AY15" si="15">SUM(AS16:AS18)</f>
        <v>0</v>
      </c>
      <c r="AT15" s="552">
        <f t="shared" si="15"/>
        <v>0</v>
      </c>
      <c r="AU15" s="552">
        <f t="shared" si="15"/>
        <v>0</v>
      </c>
      <c r="AV15" s="552">
        <f t="shared" si="15"/>
        <v>0</v>
      </c>
      <c r="AW15" s="552">
        <f t="shared" si="15"/>
        <v>0</v>
      </c>
      <c r="AX15" s="552">
        <f t="shared" si="15"/>
        <v>0</v>
      </c>
      <c r="AY15" s="552">
        <f t="shared" si="15"/>
        <v>0</v>
      </c>
      <c r="AZ15" s="553">
        <f>'Учебный план'!CD33</f>
        <v>0</v>
      </c>
      <c r="BA15" s="553">
        <f>'Учебный план'!CE33</f>
        <v>0</v>
      </c>
    </row>
    <row r="16" spans="1:53" s="229" customFormat="1" ht="26.1" customHeight="1" x14ac:dyDescent="0.2">
      <c r="A16" s="554" t="str">
        <f>'Учебный план'!A34</f>
        <v>ЕН.01</v>
      </c>
      <c r="B16" s="554" t="str">
        <f>'Учебный план'!B34</f>
        <v>Математика</v>
      </c>
      <c r="C16" s="134"/>
      <c r="D16" s="135" t="s">
        <v>27</v>
      </c>
      <c r="E16" s="135"/>
      <c r="F16" s="135"/>
      <c r="G16" s="135"/>
      <c r="H16" s="135"/>
      <c r="I16" s="139">
        <f t="shared" ref="I16:I18" si="16">K16-M16</f>
        <v>0</v>
      </c>
      <c r="J16" s="135">
        <f t="shared" ref="J16:J18" si="17">L16*$J$1</f>
        <v>12</v>
      </c>
      <c r="K16" s="555">
        <f>'Учебный план'!K34</f>
        <v>60</v>
      </c>
      <c r="L16" s="555">
        <f>'Учебный план'!L34</f>
        <v>40</v>
      </c>
      <c r="M16" s="138">
        <f t="shared" si="2"/>
        <v>60</v>
      </c>
      <c r="N16" s="138">
        <f t="shared" si="3"/>
        <v>12</v>
      </c>
      <c r="O16" s="138">
        <f t="shared" ref="O16:Q18" si="18">AA16+AG16+AM16+AT16+U16</f>
        <v>12</v>
      </c>
      <c r="P16" s="138">
        <f t="shared" si="18"/>
        <v>0</v>
      </c>
      <c r="Q16" s="138">
        <f t="shared" si="18"/>
        <v>0</v>
      </c>
      <c r="R16" s="138">
        <f t="shared" si="7"/>
        <v>0</v>
      </c>
      <c r="S16" s="138">
        <f>AE16+AK16+AQ16+AY16+Y16</f>
        <v>48</v>
      </c>
      <c r="T16" s="253">
        <f>SUM(U16:Y16)</f>
        <v>60</v>
      </c>
      <c r="U16" s="139">
        <v>12</v>
      </c>
      <c r="V16" s="139"/>
      <c r="W16" s="139"/>
      <c r="X16" s="139"/>
      <c r="Y16" s="139">
        <v>48</v>
      </c>
      <c r="Z16" s="253">
        <f>SUM(AA16:AE16)</f>
        <v>0</v>
      </c>
      <c r="AA16" s="139"/>
      <c r="AB16" s="139"/>
      <c r="AC16" s="139"/>
      <c r="AD16" s="139"/>
      <c r="AE16" s="139"/>
      <c r="AF16" s="253">
        <f>SUM(AG16:AK16)</f>
        <v>0</v>
      </c>
      <c r="AG16" s="139"/>
      <c r="AH16" s="139"/>
      <c r="AI16" s="139"/>
      <c r="AJ16" s="139"/>
      <c r="AK16" s="139"/>
      <c r="AL16" s="253">
        <f>SUM(AM16:AQ16)</f>
        <v>0</v>
      </c>
      <c r="AM16" s="139"/>
      <c r="AN16" s="139"/>
      <c r="AO16" s="139"/>
      <c r="AP16" s="139"/>
      <c r="AQ16" s="139"/>
      <c r="AR16" s="253">
        <f t="shared" si="10"/>
        <v>0</v>
      </c>
      <c r="AS16" s="139"/>
      <c r="AT16" s="139"/>
      <c r="AU16" s="139"/>
      <c r="AV16" s="139"/>
      <c r="AW16" s="139"/>
      <c r="AX16" s="139"/>
      <c r="AY16" s="139"/>
      <c r="AZ16" s="556" t="str">
        <f>'Учебный план'!CD34</f>
        <v>64-2</v>
      </c>
      <c r="BA16" s="556" t="str">
        <f>'Учебный план'!CE34</f>
        <v>ОК 1-10;ПК 1.1;ПК 1.3;ПК1.5;ПК 3.2;ПК3.3</v>
      </c>
    </row>
    <row r="17" spans="1:53" s="229" customFormat="1" ht="26.1" customHeight="1" x14ac:dyDescent="0.2">
      <c r="A17" s="554" t="str">
        <f>'Учебный план'!A35</f>
        <v>ЕН.02</v>
      </c>
      <c r="B17" s="554" t="str">
        <f>'Учебный план'!B35</f>
        <v>Информатика</v>
      </c>
      <c r="C17" s="134"/>
      <c r="D17" s="135"/>
      <c r="E17" s="135" t="s">
        <v>27</v>
      </c>
      <c r="F17" s="135"/>
      <c r="G17" s="135"/>
      <c r="H17" s="135"/>
      <c r="I17" s="139">
        <f t="shared" si="16"/>
        <v>0</v>
      </c>
      <c r="J17" s="135">
        <f t="shared" si="17"/>
        <v>12</v>
      </c>
      <c r="K17" s="555">
        <f>'Учебный план'!K35</f>
        <v>60</v>
      </c>
      <c r="L17" s="555">
        <f>'Учебный план'!L35</f>
        <v>40</v>
      </c>
      <c r="M17" s="138">
        <f t="shared" si="2"/>
        <v>60</v>
      </c>
      <c r="N17" s="138">
        <f t="shared" si="3"/>
        <v>12</v>
      </c>
      <c r="O17" s="138">
        <f t="shared" si="18"/>
        <v>4</v>
      </c>
      <c r="P17" s="138">
        <f t="shared" si="18"/>
        <v>8</v>
      </c>
      <c r="Q17" s="138">
        <f t="shared" si="18"/>
        <v>0</v>
      </c>
      <c r="R17" s="138">
        <f t="shared" si="7"/>
        <v>0</v>
      </c>
      <c r="S17" s="138">
        <f>AE17+AK17+AQ17+AY17+Y17</f>
        <v>48</v>
      </c>
      <c r="T17" s="253">
        <f>SUM(U17:Y17)</f>
        <v>60</v>
      </c>
      <c r="U17" s="139">
        <v>4</v>
      </c>
      <c r="V17" s="139">
        <v>8</v>
      </c>
      <c r="W17" s="139"/>
      <c r="X17" s="139"/>
      <c r="Y17" s="139">
        <v>48</v>
      </c>
      <c r="Z17" s="253">
        <f>SUM(AA17:AE17)</f>
        <v>0</v>
      </c>
      <c r="AA17" s="139"/>
      <c r="AB17" s="139"/>
      <c r="AC17" s="139"/>
      <c r="AD17" s="139"/>
      <c r="AE17" s="139"/>
      <c r="AF17" s="253">
        <f>SUM(AG17:AK17)</f>
        <v>0</v>
      </c>
      <c r="AG17" s="139"/>
      <c r="AH17" s="139"/>
      <c r="AI17" s="139"/>
      <c r="AJ17" s="139"/>
      <c r="AK17" s="139"/>
      <c r="AL17" s="253">
        <f>SUM(AM17:AQ17)</f>
        <v>0</v>
      </c>
      <c r="AM17" s="139"/>
      <c r="AN17" s="139"/>
      <c r="AO17" s="139"/>
      <c r="AP17" s="139"/>
      <c r="AQ17" s="139"/>
      <c r="AR17" s="253">
        <f t="shared" si="10"/>
        <v>0</v>
      </c>
      <c r="AS17" s="139"/>
      <c r="AT17" s="139"/>
      <c r="AU17" s="139"/>
      <c r="AV17" s="139"/>
      <c r="AW17" s="139"/>
      <c r="AX17" s="139"/>
      <c r="AY17" s="139"/>
      <c r="AZ17" s="556" t="str">
        <f>'Учебный план'!CD35</f>
        <v>64-2</v>
      </c>
      <c r="BA17" s="556" t="str">
        <f>'Учебный план'!CE35</f>
        <v>ОК 1-10; ПК 1.1; 1.3; 1.5; 3.2; 3.3</v>
      </c>
    </row>
    <row r="18" spans="1:53" s="229" customFormat="1" ht="26.1" customHeight="1" x14ac:dyDescent="0.2">
      <c r="A18" s="554" t="str">
        <f>'Учебный план'!A36</f>
        <v>ЕН.03</v>
      </c>
      <c r="B18" s="554" t="str">
        <f>'Учебный план'!B36</f>
        <v>Экологические основы природопользования</v>
      </c>
      <c r="C18" s="134"/>
      <c r="D18" s="135"/>
      <c r="E18" s="135" t="s">
        <v>30</v>
      </c>
      <c r="F18" s="135"/>
      <c r="G18" s="135"/>
      <c r="H18" s="135"/>
      <c r="I18" s="139">
        <f t="shared" si="16"/>
        <v>0</v>
      </c>
      <c r="J18" s="135">
        <f t="shared" si="17"/>
        <v>9.6</v>
      </c>
      <c r="K18" s="555">
        <f>'Учебный план'!K36</f>
        <v>48</v>
      </c>
      <c r="L18" s="555">
        <f>'Учебный план'!L36</f>
        <v>32</v>
      </c>
      <c r="M18" s="138">
        <f t="shared" si="2"/>
        <v>48</v>
      </c>
      <c r="N18" s="138">
        <f t="shared" si="3"/>
        <v>8</v>
      </c>
      <c r="O18" s="138">
        <f t="shared" si="18"/>
        <v>8</v>
      </c>
      <c r="P18" s="138">
        <f t="shared" si="18"/>
        <v>0</v>
      </c>
      <c r="Q18" s="138">
        <f t="shared" si="18"/>
        <v>0</v>
      </c>
      <c r="R18" s="138">
        <f t="shared" si="7"/>
        <v>0</v>
      </c>
      <c r="S18" s="138">
        <f>AE18+AK18+AQ18+AY18+Y18</f>
        <v>40</v>
      </c>
      <c r="T18" s="253">
        <f>SUM(U18:Y18)</f>
        <v>0</v>
      </c>
      <c r="U18" s="139"/>
      <c r="V18" s="139"/>
      <c r="W18" s="139"/>
      <c r="X18" s="139"/>
      <c r="Y18" s="139"/>
      <c r="Z18" s="253">
        <f>SUM(AA18:AE18)</f>
        <v>0</v>
      </c>
      <c r="AA18" s="139"/>
      <c r="AB18" s="139"/>
      <c r="AC18" s="139"/>
      <c r="AD18" s="139"/>
      <c r="AE18" s="139"/>
      <c r="AF18" s="253">
        <f>SUM(AG18:AK18)</f>
        <v>48</v>
      </c>
      <c r="AG18" s="139">
        <v>8</v>
      </c>
      <c r="AH18" s="139"/>
      <c r="AI18" s="139"/>
      <c r="AJ18" s="139"/>
      <c r="AK18" s="139">
        <v>40</v>
      </c>
      <c r="AL18" s="253">
        <f>SUM(AM18:AQ18)</f>
        <v>0</v>
      </c>
      <c r="AM18" s="139"/>
      <c r="AN18" s="139"/>
      <c r="AO18" s="139"/>
      <c r="AP18" s="139"/>
      <c r="AQ18" s="139"/>
      <c r="AR18" s="253">
        <f t="shared" si="10"/>
        <v>0</v>
      </c>
      <c r="AS18" s="139"/>
      <c r="AT18" s="139"/>
      <c r="AU18" s="139"/>
      <c r="AV18" s="139"/>
      <c r="AW18" s="139"/>
      <c r="AX18" s="139"/>
      <c r="AY18" s="139"/>
      <c r="AZ18" s="556" t="str">
        <f>'Учебный план'!CD36</f>
        <v>64-2</v>
      </c>
      <c r="BA18" s="556" t="str">
        <f>'Учебный план'!CE36</f>
        <v>ОК 1-10;ПК 1.1-1.5;ПК 2.1-2.3;ПК 3.1-3.3</v>
      </c>
    </row>
    <row r="19" spans="1:53" ht="26.1" customHeight="1" x14ac:dyDescent="0.2">
      <c r="A19" s="551" t="str">
        <f>'Учебный план'!A37</f>
        <v>П.00</v>
      </c>
      <c r="B19" s="551" t="str">
        <f>'Учебный план'!B37</f>
        <v>Профессиональный учебный цикл</v>
      </c>
      <c r="C19" s="558"/>
      <c r="D19" s="301" t="s">
        <v>26</v>
      </c>
      <c r="E19" s="301"/>
      <c r="F19" s="301"/>
      <c r="G19" s="301"/>
      <c r="H19" s="301"/>
      <c r="I19" s="301"/>
      <c r="J19" s="301"/>
      <c r="K19" s="552">
        <f>'Учебный план'!K37</f>
        <v>3078</v>
      </c>
      <c r="L19" s="552">
        <f>'Учебный план'!L37</f>
        <v>2055</v>
      </c>
      <c r="M19" s="302">
        <f t="shared" si="2"/>
        <v>2551</v>
      </c>
      <c r="N19" s="302">
        <f t="shared" si="3"/>
        <v>398</v>
      </c>
      <c r="O19" s="302">
        <f t="shared" ref="O19:Q20" si="19">AA19+AG19+AM19+AT19</f>
        <v>306</v>
      </c>
      <c r="P19" s="302">
        <f t="shared" si="19"/>
        <v>62</v>
      </c>
      <c r="Q19" s="302">
        <f t="shared" si="19"/>
        <v>30</v>
      </c>
      <c r="R19" s="302">
        <f t="shared" si="7"/>
        <v>0</v>
      </c>
      <c r="S19" s="302">
        <f>AE19+AK19+AQ19+AY19</f>
        <v>2153</v>
      </c>
      <c r="T19" s="552">
        <f t="shared" ref="T19:Y19" si="20">SUM(T20+T29)</f>
        <v>527</v>
      </c>
      <c r="U19" s="552">
        <f t="shared" si="20"/>
        <v>72</v>
      </c>
      <c r="V19" s="552">
        <f t="shared" si="20"/>
        <v>20</v>
      </c>
      <c r="W19" s="552">
        <f t="shared" si="20"/>
        <v>0</v>
      </c>
      <c r="X19" s="552">
        <f t="shared" si="20"/>
        <v>0</v>
      </c>
      <c r="Y19" s="552">
        <f t="shared" si="20"/>
        <v>435</v>
      </c>
      <c r="Z19" s="552">
        <f t="shared" ref="Z19:AY19" si="21">SUM(Z20+Z29)</f>
        <v>801</v>
      </c>
      <c r="AA19" s="552">
        <f t="shared" si="21"/>
        <v>132</v>
      </c>
      <c r="AB19" s="552">
        <f t="shared" si="21"/>
        <v>18</v>
      </c>
      <c r="AC19" s="552">
        <f t="shared" si="21"/>
        <v>0</v>
      </c>
      <c r="AD19" s="552">
        <f t="shared" si="21"/>
        <v>0</v>
      </c>
      <c r="AE19" s="552">
        <f t="shared" si="21"/>
        <v>651</v>
      </c>
      <c r="AF19" s="552">
        <f t="shared" si="21"/>
        <v>758</v>
      </c>
      <c r="AG19" s="552">
        <f t="shared" si="21"/>
        <v>72</v>
      </c>
      <c r="AH19" s="552">
        <f t="shared" si="21"/>
        <v>4</v>
      </c>
      <c r="AI19" s="552">
        <f t="shared" si="21"/>
        <v>30</v>
      </c>
      <c r="AJ19" s="552">
        <f t="shared" si="21"/>
        <v>0</v>
      </c>
      <c r="AK19" s="552">
        <f t="shared" si="21"/>
        <v>652</v>
      </c>
      <c r="AL19" s="552">
        <f t="shared" si="21"/>
        <v>992</v>
      </c>
      <c r="AM19" s="552">
        <f t="shared" si="21"/>
        <v>102</v>
      </c>
      <c r="AN19" s="552">
        <f t="shared" si="21"/>
        <v>40</v>
      </c>
      <c r="AO19" s="552">
        <f t="shared" si="21"/>
        <v>0</v>
      </c>
      <c r="AP19" s="552">
        <f t="shared" si="21"/>
        <v>0</v>
      </c>
      <c r="AQ19" s="552">
        <f t="shared" si="21"/>
        <v>850</v>
      </c>
      <c r="AR19" s="552">
        <f t="shared" si="21"/>
        <v>0</v>
      </c>
      <c r="AS19" s="552">
        <f t="shared" si="21"/>
        <v>0</v>
      </c>
      <c r="AT19" s="552">
        <f t="shared" si="21"/>
        <v>0</v>
      </c>
      <c r="AU19" s="552">
        <f t="shared" si="21"/>
        <v>0</v>
      </c>
      <c r="AV19" s="552">
        <f t="shared" si="21"/>
        <v>0</v>
      </c>
      <c r="AW19" s="552">
        <f t="shared" si="21"/>
        <v>0</v>
      </c>
      <c r="AX19" s="552">
        <f t="shared" si="21"/>
        <v>0</v>
      </c>
      <c r="AY19" s="552">
        <f t="shared" si="21"/>
        <v>0</v>
      </c>
      <c r="AZ19" s="553">
        <f>'Учебный план'!CD37</f>
        <v>0</v>
      </c>
      <c r="BA19" s="553">
        <f>'Учебный план'!CE37</f>
        <v>0</v>
      </c>
    </row>
    <row r="20" spans="1:53" s="195" customFormat="1" ht="26.1" customHeight="1" x14ac:dyDescent="0.2">
      <c r="A20" s="551" t="str">
        <f>'Учебный план'!A38</f>
        <v>ОП.00</v>
      </c>
      <c r="B20" s="551" t="str">
        <f>'Учебный план'!B38</f>
        <v>Общепрофессиональные дисциплины</v>
      </c>
      <c r="C20" s="559"/>
      <c r="D20" s="301"/>
      <c r="E20" s="301"/>
      <c r="F20" s="301"/>
      <c r="G20" s="301"/>
      <c r="H20" s="301"/>
      <c r="I20" s="301"/>
      <c r="J20" s="301"/>
      <c r="K20" s="552">
        <f>'Учебный план'!K38</f>
        <v>1047</v>
      </c>
      <c r="L20" s="552">
        <f>'Учебный план'!L38</f>
        <v>698</v>
      </c>
      <c r="M20" s="302">
        <f t="shared" si="2"/>
        <v>520</v>
      </c>
      <c r="N20" s="302">
        <f t="shared" si="3"/>
        <v>92</v>
      </c>
      <c r="O20" s="302">
        <f t="shared" si="19"/>
        <v>88</v>
      </c>
      <c r="P20" s="302">
        <f t="shared" si="19"/>
        <v>4</v>
      </c>
      <c r="Q20" s="302">
        <f t="shared" si="19"/>
        <v>0</v>
      </c>
      <c r="R20" s="302">
        <f t="shared" si="7"/>
        <v>0</v>
      </c>
      <c r="S20" s="302">
        <f>AE20+AK20+AQ20+AY20</f>
        <v>428</v>
      </c>
      <c r="T20" s="552">
        <f t="shared" ref="T20:Y20" si="22">SUM(T21:T28)</f>
        <v>527</v>
      </c>
      <c r="U20" s="552">
        <f t="shared" si="22"/>
        <v>72</v>
      </c>
      <c r="V20" s="552">
        <f t="shared" si="22"/>
        <v>20</v>
      </c>
      <c r="W20" s="552">
        <f t="shared" si="22"/>
        <v>0</v>
      </c>
      <c r="X20" s="552">
        <f t="shared" si="22"/>
        <v>0</v>
      </c>
      <c r="Y20" s="552">
        <f t="shared" si="22"/>
        <v>435</v>
      </c>
      <c r="Z20" s="552">
        <f t="shared" ref="Z20:AY20" si="23">SUM(Z21:Z28)</f>
        <v>361</v>
      </c>
      <c r="AA20" s="552">
        <f t="shared" si="23"/>
        <v>70</v>
      </c>
      <c r="AB20" s="552">
        <f t="shared" si="23"/>
        <v>4</v>
      </c>
      <c r="AC20" s="552">
        <f t="shared" si="23"/>
        <v>0</v>
      </c>
      <c r="AD20" s="552">
        <f t="shared" si="23"/>
        <v>0</v>
      </c>
      <c r="AE20" s="552">
        <f t="shared" si="23"/>
        <v>287</v>
      </c>
      <c r="AF20" s="552">
        <f t="shared" si="23"/>
        <v>159</v>
      </c>
      <c r="AG20" s="552">
        <f t="shared" si="23"/>
        <v>18</v>
      </c>
      <c r="AH20" s="552">
        <f t="shared" si="23"/>
        <v>0</v>
      </c>
      <c r="AI20" s="552">
        <f t="shared" si="23"/>
        <v>0</v>
      </c>
      <c r="AJ20" s="552">
        <f t="shared" si="23"/>
        <v>0</v>
      </c>
      <c r="AK20" s="552">
        <f t="shared" si="23"/>
        <v>141</v>
      </c>
      <c r="AL20" s="552">
        <f t="shared" si="23"/>
        <v>0</v>
      </c>
      <c r="AM20" s="552">
        <f t="shared" si="23"/>
        <v>0</v>
      </c>
      <c r="AN20" s="552">
        <f t="shared" si="23"/>
        <v>0</v>
      </c>
      <c r="AO20" s="552">
        <f t="shared" si="23"/>
        <v>0</v>
      </c>
      <c r="AP20" s="552">
        <f t="shared" si="23"/>
        <v>0</v>
      </c>
      <c r="AQ20" s="552">
        <f t="shared" si="23"/>
        <v>0</v>
      </c>
      <c r="AR20" s="552">
        <f t="shared" si="23"/>
        <v>0</v>
      </c>
      <c r="AS20" s="552">
        <f t="shared" si="23"/>
        <v>0</v>
      </c>
      <c r="AT20" s="552">
        <f t="shared" si="23"/>
        <v>0</v>
      </c>
      <c r="AU20" s="552">
        <f t="shared" si="23"/>
        <v>0</v>
      </c>
      <c r="AV20" s="552">
        <f t="shared" si="23"/>
        <v>0</v>
      </c>
      <c r="AW20" s="552">
        <f t="shared" si="23"/>
        <v>0</v>
      </c>
      <c r="AX20" s="552">
        <f t="shared" si="23"/>
        <v>0</v>
      </c>
      <c r="AY20" s="552">
        <f t="shared" si="23"/>
        <v>0</v>
      </c>
      <c r="AZ20" s="553">
        <f>'Учебный план'!CD38</f>
        <v>0</v>
      </c>
      <c r="BA20" s="553">
        <f>'Учебный план'!CE38</f>
        <v>0</v>
      </c>
    </row>
    <row r="21" spans="1:53" s="229" customFormat="1" ht="26.1" customHeight="1" x14ac:dyDescent="0.2">
      <c r="A21" s="554" t="str">
        <f>'Учебный план'!A39</f>
        <v>ОП.01</v>
      </c>
      <c r="B21" s="554" t="str">
        <f>'Учебный план'!B39</f>
        <v>Инженерная графика</v>
      </c>
      <c r="C21" s="134"/>
      <c r="D21" s="135"/>
      <c r="E21" s="135" t="s">
        <v>27</v>
      </c>
      <c r="F21" s="135"/>
      <c r="G21" s="135"/>
      <c r="H21" s="135"/>
      <c r="I21" s="139">
        <f t="shared" ref="I21:I28" si="24">K21-M21</f>
        <v>0</v>
      </c>
      <c r="J21" s="135">
        <f t="shared" ref="J21:J28" si="25">L21*$J$1</f>
        <v>21</v>
      </c>
      <c r="K21" s="555">
        <f>'Учебный план'!K39</f>
        <v>106</v>
      </c>
      <c r="L21" s="555">
        <f>'Учебный план'!L39</f>
        <v>70</v>
      </c>
      <c r="M21" s="138">
        <f t="shared" si="2"/>
        <v>106</v>
      </c>
      <c r="N21" s="138">
        <f t="shared" si="3"/>
        <v>20</v>
      </c>
      <c r="O21" s="138">
        <f t="shared" ref="O21:Q28" si="26">AA21+AG21+AM21+AT21+U21</f>
        <v>0</v>
      </c>
      <c r="P21" s="138">
        <f t="shared" si="26"/>
        <v>20</v>
      </c>
      <c r="Q21" s="138">
        <f t="shared" si="26"/>
        <v>0</v>
      </c>
      <c r="R21" s="138">
        <f t="shared" si="7"/>
        <v>0</v>
      </c>
      <c r="S21" s="138">
        <f t="shared" ref="S21:S28" si="27">AE21+AK21+AQ21+AY21+Y21</f>
        <v>86</v>
      </c>
      <c r="T21" s="253">
        <f t="shared" ref="T21:T28" si="28">SUM(U21:Y21)</f>
        <v>106</v>
      </c>
      <c r="U21" s="139"/>
      <c r="V21" s="139">
        <v>20</v>
      </c>
      <c r="W21" s="139"/>
      <c r="X21" s="139"/>
      <c r="Y21" s="139">
        <v>86</v>
      </c>
      <c r="Z21" s="253">
        <f t="shared" ref="Z21:Z28" si="29">SUM(AA21:AE21)</f>
        <v>0</v>
      </c>
      <c r="AA21" s="139"/>
      <c r="AB21" s="139"/>
      <c r="AC21" s="139"/>
      <c r="AD21" s="139"/>
      <c r="AE21" s="139"/>
      <c r="AF21" s="253">
        <f t="shared" ref="AF21:AF28" si="30">SUM(AG21:AK21)</f>
        <v>0</v>
      </c>
      <c r="AG21" s="139"/>
      <c r="AH21" s="139"/>
      <c r="AI21" s="139"/>
      <c r="AJ21" s="139"/>
      <c r="AK21" s="139"/>
      <c r="AL21" s="253">
        <f t="shared" ref="AL21:AL28" si="31">SUM(AM21:AQ21)</f>
        <v>0</v>
      </c>
      <c r="AM21" s="139"/>
      <c r="AN21" s="139"/>
      <c r="AO21" s="139"/>
      <c r="AP21" s="139"/>
      <c r="AQ21" s="139"/>
      <c r="AR21" s="253">
        <f t="shared" si="10"/>
        <v>0</v>
      </c>
      <c r="AS21" s="139"/>
      <c r="AT21" s="139"/>
      <c r="AU21" s="139"/>
      <c r="AV21" s="139"/>
      <c r="AW21" s="139"/>
      <c r="AX21" s="139"/>
      <c r="AY21" s="139"/>
      <c r="AZ21" s="556" t="str">
        <f>'Учебный план'!CD39</f>
        <v>64-3</v>
      </c>
      <c r="BA21" s="556" t="str">
        <f>'Учебный план'!CE39</f>
        <v>ОК 1-10; ПК 1.1, 1.3-1.5, 2.1-2.3, 3.1-3.3</v>
      </c>
    </row>
    <row r="22" spans="1:53" s="229" customFormat="1" ht="26.1" customHeight="1" x14ac:dyDescent="0.2">
      <c r="A22" s="554" t="str">
        <f>'Учебный план'!A40</f>
        <v>ОП.02</v>
      </c>
      <c r="B22" s="554" t="str">
        <f>'Учебный план'!B40</f>
        <v>Механика</v>
      </c>
      <c r="C22" s="134"/>
      <c r="D22" s="135" t="s">
        <v>31</v>
      </c>
      <c r="E22" s="135"/>
      <c r="F22" s="135"/>
      <c r="G22" s="135"/>
      <c r="H22" s="135"/>
      <c r="I22" s="139">
        <f t="shared" si="24"/>
        <v>0</v>
      </c>
      <c r="J22" s="135">
        <f t="shared" si="25"/>
        <v>53.4</v>
      </c>
      <c r="K22" s="555">
        <f>'Учебный план'!K40</f>
        <v>268</v>
      </c>
      <c r="L22" s="555">
        <f>'Учебный план'!L40</f>
        <v>178</v>
      </c>
      <c r="M22" s="138">
        <f t="shared" si="2"/>
        <v>268</v>
      </c>
      <c r="N22" s="138">
        <f t="shared" si="3"/>
        <v>46</v>
      </c>
      <c r="O22" s="138">
        <f t="shared" si="26"/>
        <v>46</v>
      </c>
      <c r="P22" s="138">
        <f t="shared" si="26"/>
        <v>0</v>
      </c>
      <c r="Q22" s="138">
        <f t="shared" si="26"/>
        <v>0</v>
      </c>
      <c r="R22" s="138">
        <f t="shared" si="7"/>
        <v>0</v>
      </c>
      <c r="S22" s="138">
        <f t="shared" si="27"/>
        <v>222</v>
      </c>
      <c r="T22" s="253">
        <f t="shared" si="28"/>
        <v>134</v>
      </c>
      <c r="U22" s="139">
        <v>22</v>
      </c>
      <c r="V22" s="139"/>
      <c r="W22" s="139"/>
      <c r="X22" s="139"/>
      <c r="Y22" s="139">
        <v>112</v>
      </c>
      <c r="Z22" s="253">
        <f t="shared" si="29"/>
        <v>134</v>
      </c>
      <c r="AA22" s="139">
        <v>24</v>
      </c>
      <c r="AB22" s="139"/>
      <c r="AC22" s="139"/>
      <c r="AD22" s="139"/>
      <c r="AE22" s="139">
        <v>110</v>
      </c>
      <c r="AF22" s="253">
        <f t="shared" si="30"/>
        <v>0</v>
      </c>
      <c r="AG22" s="139"/>
      <c r="AH22" s="139"/>
      <c r="AI22" s="139"/>
      <c r="AJ22" s="139"/>
      <c r="AK22" s="139"/>
      <c r="AL22" s="253">
        <f t="shared" si="31"/>
        <v>0</v>
      </c>
      <c r="AM22" s="139"/>
      <c r="AN22" s="139"/>
      <c r="AO22" s="139"/>
      <c r="AP22" s="139"/>
      <c r="AQ22" s="139"/>
      <c r="AR22" s="253">
        <f t="shared" si="10"/>
        <v>0</v>
      </c>
      <c r="AS22" s="139"/>
      <c r="AT22" s="139"/>
      <c r="AU22" s="139"/>
      <c r="AV22" s="139"/>
      <c r="AW22" s="139"/>
      <c r="AX22" s="139"/>
      <c r="AY22" s="139"/>
      <c r="AZ22" s="556" t="str">
        <f>'Учебный план'!CD40</f>
        <v>64-3</v>
      </c>
      <c r="BA22" s="556" t="str">
        <f>'Учебный план'!CE40</f>
        <v>ОК 1-10; ПК 1.1-1.5, 2.1-2.3,  3.1-3.3</v>
      </c>
    </row>
    <row r="23" spans="1:53" s="229" customFormat="1" ht="26.1" customHeight="1" x14ac:dyDescent="0.2">
      <c r="A23" s="554" t="str">
        <f>'Учебный план'!A41</f>
        <v>ОП.03</v>
      </c>
      <c r="B23" s="560" t="str">
        <f>'Учебный план'!B41</f>
        <v>Электроника и электротехника</v>
      </c>
      <c r="C23" s="134"/>
      <c r="D23" s="135"/>
      <c r="E23" s="135" t="s">
        <v>30</v>
      </c>
      <c r="F23" s="135"/>
      <c r="G23" s="135"/>
      <c r="H23" s="135"/>
      <c r="I23" s="139">
        <f t="shared" si="24"/>
        <v>0</v>
      </c>
      <c r="J23" s="135">
        <f t="shared" si="25"/>
        <v>21</v>
      </c>
      <c r="K23" s="555">
        <f>'Учебный план'!K41</f>
        <v>105</v>
      </c>
      <c r="L23" s="555">
        <f>'Учебный план'!L41</f>
        <v>70</v>
      </c>
      <c r="M23" s="138">
        <f t="shared" si="2"/>
        <v>105</v>
      </c>
      <c r="N23" s="138">
        <f t="shared" si="3"/>
        <v>20</v>
      </c>
      <c r="O23" s="138">
        <f t="shared" si="26"/>
        <v>16</v>
      </c>
      <c r="P23" s="138">
        <f t="shared" si="26"/>
        <v>4</v>
      </c>
      <c r="Q23" s="138">
        <f t="shared" si="26"/>
        <v>0</v>
      </c>
      <c r="R23" s="138">
        <f t="shared" si="7"/>
        <v>0</v>
      </c>
      <c r="S23" s="138">
        <f t="shared" si="27"/>
        <v>85</v>
      </c>
      <c r="T23" s="253">
        <f t="shared" si="28"/>
        <v>0</v>
      </c>
      <c r="U23" s="139"/>
      <c r="V23" s="139"/>
      <c r="W23" s="139"/>
      <c r="X23" s="139"/>
      <c r="Y23" s="139"/>
      <c r="Z23" s="253">
        <f t="shared" si="29"/>
        <v>54</v>
      </c>
      <c r="AA23" s="139">
        <v>8</v>
      </c>
      <c r="AB23" s="139">
        <v>4</v>
      </c>
      <c r="AC23" s="139"/>
      <c r="AD23" s="139"/>
      <c r="AE23" s="139">
        <v>42</v>
      </c>
      <c r="AF23" s="253">
        <f t="shared" si="30"/>
        <v>51</v>
      </c>
      <c r="AG23" s="139">
        <v>8</v>
      </c>
      <c r="AH23" s="139"/>
      <c r="AI23" s="139"/>
      <c r="AJ23" s="139"/>
      <c r="AK23" s="139">
        <v>43</v>
      </c>
      <c r="AL23" s="253">
        <f t="shared" si="31"/>
        <v>0</v>
      </c>
      <c r="AM23" s="139"/>
      <c r="AN23" s="139"/>
      <c r="AO23" s="139"/>
      <c r="AP23" s="139"/>
      <c r="AQ23" s="139"/>
      <c r="AR23" s="253">
        <f t="shared" si="10"/>
        <v>0</v>
      </c>
      <c r="AS23" s="139"/>
      <c r="AT23" s="139"/>
      <c r="AU23" s="139"/>
      <c r="AV23" s="139"/>
      <c r="AW23" s="139"/>
      <c r="AX23" s="139"/>
      <c r="AY23" s="139"/>
      <c r="AZ23" s="556" t="str">
        <f>'Учебный план'!CD41</f>
        <v>64-6</v>
      </c>
      <c r="BA23" s="556" t="str">
        <f>'Учебный план'!CE41</f>
        <v>ОК 1-10; ПК 1.1-1.5, 2.1-2.3, 3.1-3.3</v>
      </c>
    </row>
    <row r="24" spans="1:53" s="229" customFormat="1" ht="26.1" customHeight="1" x14ac:dyDescent="0.2">
      <c r="A24" s="554" t="str">
        <f>'Учебный план'!A42</f>
        <v>ОП.04</v>
      </c>
      <c r="B24" s="560" t="str">
        <f>'Учебный план'!B42</f>
        <v>Материаловедение</v>
      </c>
      <c r="C24" s="134"/>
      <c r="D24" s="135"/>
      <c r="E24" s="135" t="s">
        <v>27</v>
      </c>
      <c r="F24" s="135"/>
      <c r="G24" s="135"/>
      <c r="H24" s="135"/>
      <c r="I24" s="139">
        <f t="shared" si="24"/>
        <v>0</v>
      </c>
      <c r="J24" s="135">
        <f t="shared" si="25"/>
        <v>22.8</v>
      </c>
      <c r="K24" s="555">
        <f>'Учебный план'!K42</f>
        <v>114</v>
      </c>
      <c r="L24" s="555">
        <f>'Учебный план'!L42</f>
        <v>76</v>
      </c>
      <c r="M24" s="138">
        <f t="shared" si="2"/>
        <v>114</v>
      </c>
      <c r="N24" s="138">
        <f t="shared" si="3"/>
        <v>22</v>
      </c>
      <c r="O24" s="138">
        <f t="shared" si="26"/>
        <v>22</v>
      </c>
      <c r="P24" s="138">
        <f t="shared" si="26"/>
        <v>0</v>
      </c>
      <c r="Q24" s="138">
        <f t="shared" si="26"/>
        <v>0</v>
      </c>
      <c r="R24" s="138">
        <f t="shared" si="7"/>
        <v>0</v>
      </c>
      <c r="S24" s="138">
        <f t="shared" si="27"/>
        <v>92</v>
      </c>
      <c r="T24" s="253">
        <f t="shared" si="28"/>
        <v>114</v>
      </c>
      <c r="U24" s="139">
        <v>22</v>
      </c>
      <c r="V24" s="139"/>
      <c r="W24" s="139"/>
      <c r="X24" s="139"/>
      <c r="Y24" s="139">
        <v>92</v>
      </c>
      <c r="Z24" s="253">
        <f t="shared" si="29"/>
        <v>0</v>
      </c>
      <c r="AA24" s="139"/>
      <c r="AB24" s="139"/>
      <c r="AC24" s="139"/>
      <c r="AD24" s="139"/>
      <c r="AE24" s="139"/>
      <c r="AF24" s="253">
        <f t="shared" si="30"/>
        <v>0</v>
      </c>
      <c r="AG24" s="139"/>
      <c r="AH24" s="139"/>
      <c r="AI24" s="139"/>
      <c r="AJ24" s="139"/>
      <c r="AK24" s="139"/>
      <c r="AL24" s="253">
        <f t="shared" si="31"/>
        <v>0</v>
      </c>
      <c r="AM24" s="139"/>
      <c r="AN24" s="139"/>
      <c r="AO24" s="139"/>
      <c r="AP24" s="139"/>
      <c r="AQ24" s="139"/>
      <c r="AR24" s="253">
        <f t="shared" si="10"/>
        <v>0</v>
      </c>
      <c r="AS24" s="139"/>
      <c r="AT24" s="139"/>
      <c r="AU24" s="139"/>
      <c r="AV24" s="139"/>
      <c r="AW24" s="139"/>
      <c r="AX24" s="139"/>
      <c r="AY24" s="139"/>
      <c r="AZ24" s="556" t="str">
        <f>'Учебный план'!CD42</f>
        <v>64-3</v>
      </c>
      <c r="BA24" s="556" t="str">
        <f>'Учебный план'!CE42</f>
        <v>ОК 1-10; ПК 1.1-1.5, 2.1-2.3, 3.1-3.3</v>
      </c>
    </row>
    <row r="25" spans="1:53" s="229" customFormat="1" ht="26.1" customHeight="1" x14ac:dyDescent="0.2">
      <c r="A25" s="554" t="str">
        <f>'Учебный план'!A43</f>
        <v>ОП.05</v>
      </c>
      <c r="B25" s="560" t="str">
        <f>'Учебный план'!B43</f>
        <v>Метрология и стандартизация</v>
      </c>
      <c r="C25" s="134"/>
      <c r="D25" s="135"/>
      <c r="E25" s="135" t="s">
        <v>31</v>
      </c>
      <c r="F25" s="135"/>
      <c r="G25" s="135"/>
      <c r="H25" s="135"/>
      <c r="I25" s="139">
        <f t="shared" si="24"/>
        <v>0</v>
      </c>
      <c r="J25" s="135">
        <f t="shared" si="25"/>
        <v>21</v>
      </c>
      <c r="K25" s="555">
        <f>'Учебный план'!K43</f>
        <v>105</v>
      </c>
      <c r="L25" s="555">
        <f>'Учебный план'!L43</f>
        <v>70</v>
      </c>
      <c r="M25" s="138">
        <f t="shared" si="2"/>
        <v>105</v>
      </c>
      <c r="N25" s="138">
        <f t="shared" si="3"/>
        <v>20</v>
      </c>
      <c r="O25" s="138">
        <f t="shared" si="26"/>
        <v>20</v>
      </c>
      <c r="P25" s="138">
        <f t="shared" si="26"/>
        <v>0</v>
      </c>
      <c r="Q25" s="138">
        <f t="shared" si="26"/>
        <v>0</v>
      </c>
      <c r="R25" s="138">
        <f t="shared" si="7"/>
        <v>0</v>
      </c>
      <c r="S25" s="138">
        <f t="shared" si="27"/>
        <v>85</v>
      </c>
      <c r="T25" s="253">
        <f t="shared" si="28"/>
        <v>51</v>
      </c>
      <c r="U25" s="139">
        <v>6</v>
      </c>
      <c r="V25" s="139"/>
      <c r="W25" s="139"/>
      <c r="X25" s="139"/>
      <c r="Y25" s="139">
        <v>45</v>
      </c>
      <c r="Z25" s="253">
        <f t="shared" si="29"/>
        <v>54</v>
      </c>
      <c r="AA25" s="139">
        <v>14</v>
      </c>
      <c r="AB25" s="139"/>
      <c r="AC25" s="139"/>
      <c r="AD25" s="139"/>
      <c r="AE25" s="139">
        <v>40</v>
      </c>
      <c r="AF25" s="253">
        <f t="shared" si="30"/>
        <v>0</v>
      </c>
      <c r="AG25" s="139"/>
      <c r="AH25" s="139"/>
      <c r="AI25" s="139"/>
      <c r="AJ25" s="139"/>
      <c r="AK25" s="139"/>
      <c r="AL25" s="253">
        <f t="shared" si="31"/>
        <v>0</v>
      </c>
      <c r="AM25" s="139"/>
      <c r="AN25" s="139"/>
      <c r="AO25" s="139"/>
      <c r="AP25" s="139"/>
      <c r="AQ25" s="139"/>
      <c r="AR25" s="253">
        <f t="shared" si="10"/>
        <v>0</v>
      </c>
      <c r="AS25" s="139"/>
      <c r="AT25" s="139"/>
      <c r="AU25" s="139"/>
      <c r="AV25" s="139"/>
      <c r="AW25" s="139"/>
      <c r="AX25" s="139"/>
      <c r="AY25" s="139"/>
      <c r="AZ25" s="556" t="str">
        <f>'Учебный план'!CD43</f>
        <v>64-3</v>
      </c>
      <c r="BA25" s="556" t="str">
        <f>'Учебный план'!CE43</f>
        <v>ОК 1-10; ПК 1.1-1.5, 2.1-2.3, 3.1-3.3</v>
      </c>
    </row>
    <row r="26" spans="1:53" s="229" customFormat="1" ht="26.1" customHeight="1" x14ac:dyDescent="0.2">
      <c r="A26" s="554" t="str">
        <f>'Учебный план'!A44</f>
        <v>ОП.06</v>
      </c>
      <c r="B26" s="560" t="str">
        <f>'Учебный план'!B44</f>
        <v>Теория и устройство судна</v>
      </c>
      <c r="C26" s="134"/>
      <c r="D26" s="135" t="s">
        <v>31</v>
      </c>
      <c r="E26" s="135"/>
      <c r="F26" s="135"/>
      <c r="G26" s="135"/>
      <c r="H26" s="135"/>
      <c r="I26" s="139">
        <f t="shared" si="24"/>
        <v>0</v>
      </c>
      <c r="J26" s="135">
        <f t="shared" si="25"/>
        <v>25.8</v>
      </c>
      <c r="K26" s="555">
        <f>'Учебный план'!K44</f>
        <v>131</v>
      </c>
      <c r="L26" s="555">
        <f>'Учебный план'!L44</f>
        <v>86</v>
      </c>
      <c r="M26" s="138">
        <f t="shared" si="2"/>
        <v>131</v>
      </c>
      <c r="N26" s="138">
        <f t="shared" si="3"/>
        <v>24</v>
      </c>
      <c r="O26" s="138">
        <f t="shared" si="26"/>
        <v>24</v>
      </c>
      <c r="P26" s="138">
        <f t="shared" si="26"/>
        <v>0</v>
      </c>
      <c r="Q26" s="138">
        <f t="shared" si="26"/>
        <v>0</v>
      </c>
      <c r="R26" s="138">
        <f t="shared" si="7"/>
        <v>0</v>
      </c>
      <c r="S26" s="138">
        <f t="shared" si="27"/>
        <v>107</v>
      </c>
      <c r="T26" s="253">
        <f t="shared" si="28"/>
        <v>66</v>
      </c>
      <c r="U26" s="139">
        <v>12</v>
      </c>
      <c r="V26" s="139"/>
      <c r="W26" s="139"/>
      <c r="X26" s="139"/>
      <c r="Y26" s="139">
        <v>54</v>
      </c>
      <c r="Z26" s="253">
        <f t="shared" si="29"/>
        <v>65</v>
      </c>
      <c r="AA26" s="139">
        <v>12</v>
      </c>
      <c r="AB26" s="139"/>
      <c r="AC26" s="139"/>
      <c r="AD26" s="139"/>
      <c r="AE26" s="139">
        <v>53</v>
      </c>
      <c r="AF26" s="253">
        <f t="shared" si="30"/>
        <v>0</v>
      </c>
      <c r="AG26" s="139"/>
      <c r="AH26" s="139"/>
      <c r="AI26" s="139"/>
      <c r="AJ26" s="139"/>
      <c r="AK26" s="139"/>
      <c r="AL26" s="253">
        <f t="shared" si="31"/>
        <v>0</v>
      </c>
      <c r="AM26" s="139"/>
      <c r="AN26" s="139"/>
      <c r="AO26" s="139"/>
      <c r="AP26" s="139"/>
      <c r="AQ26" s="139"/>
      <c r="AR26" s="253">
        <f t="shared" si="10"/>
        <v>0</v>
      </c>
      <c r="AS26" s="139"/>
      <c r="AT26" s="139"/>
      <c r="AU26" s="139"/>
      <c r="AV26" s="139"/>
      <c r="AW26" s="139"/>
      <c r="AX26" s="139"/>
      <c r="AY26" s="139"/>
      <c r="AZ26" s="556" t="str">
        <f>'Учебный план'!CD44</f>
        <v>64-4</v>
      </c>
      <c r="BA26" s="556" t="str">
        <f>'Учебный план'!CE44</f>
        <v>ОК 1-10; ПК 1.1-1.5, 2.1-2.3, 3.1-3.3</v>
      </c>
    </row>
    <row r="27" spans="1:53" s="229" customFormat="1" ht="26.1" customHeight="1" x14ac:dyDescent="0.2">
      <c r="A27" s="554" t="str">
        <f>'Учебный план'!A45</f>
        <v>ОП.07</v>
      </c>
      <c r="B27" s="554" t="str">
        <f>'Учебный план'!B45</f>
        <v>Техническая термодинамика и теплопередача</v>
      </c>
      <c r="C27" s="134"/>
      <c r="D27" s="135" t="s">
        <v>31</v>
      </c>
      <c r="E27" s="135"/>
      <c r="F27" s="135"/>
      <c r="G27" s="135"/>
      <c r="H27" s="135"/>
      <c r="I27" s="139">
        <f t="shared" si="24"/>
        <v>0</v>
      </c>
      <c r="J27" s="135">
        <f t="shared" si="25"/>
        <v>22.2</v>
      </c>
      <c r="K27" s="555">
        <f>'Учебный план'!K45</f>
        <v>110</v>
      </c>
      <c r="L27" s="555">
        <f>'Учебный план'!L45</f>
        <v>74</v>
      </c>
      <c r="M27" s="138">
        <f t="shared" si="2"/>
        <v>110</v>
      </c>
      <c r="N27" s="138">
        <f t="shared" si="3"/>
        <v>22</v>
      </c>
      <c r="O27" s="138">
        <f t="shared" si="26"/>
        <v>22</v>
      </c>
      <c r="P27" s="138">
        <f t="shared" si="26"/>
        <v>0</v>
      </c>
      <c r="Q27" s="138">
        <f t="shared" si="26"/>
        <v>0</v>
      </c>
      <c r="R27" s="138">
        <f t="shared" si="7"/>
        <v>0</v>
      </c>
      <c r="S27" s="138">
        <f t="shared" si="27"/>
        <v>88</v>
      </c>
      <c r="T27" s="253">
        <f t="shared" si="28"/>
        <v>56</v>
      </c>
      <c r="U27" s="139">
        <v>10</v>
      </c>
      <c r="V27" s="139"/>
      <c r="W27" s="139"/>
      <c r="X27" s="139"/>
      <c r="Y27" s="139">
        <v>46</v>
      </c>
      <c r="Z27" s="253">
        <f t="shared" si="29"/>
        <v>54</v>
      </c>
      <c r="AA27" s="139">
        <v>12</v>
      </c>
      <c r="AB27" s="139"/>
      <c r="AC27" s="139"/>
      <c r="AD27" s="139"/>
      <c r="AE27" s="139">
        <v>42</v>
      </c>
      <c r="AF27" s="253">
        <f t="shared" si="30"/>
        <v>0</v>
      </c>
      <c r="AG27" s="139"/>
      <c r="AH27" s="139"/>
      <c r="AI27" s="139"/>
      <c r="AJ27" s="139"/>
      <c r="AK27" s="139"/>
      <c r="AL27" s="253">
        <f t="shared" si="31"/>
        <v>0</v>
      </c>
      <c r="AM27" s="139"/>
      <c r="AN27" s="139"/>
      <c r="AO27" s="139"/>
      <c r="AP27" s="139"/>
      <c r="AQ27" s="139"/>
      <c r="AR27" s="253">
        <f t="shared" si="10"/>
        <v>0</v>
      </c>
      <c r="AS27" s="139"/>
      <c r="AT27" s="139"/>
      <c r="AU27" s="139"/>
      <c r="AV27" s="139"/>
      <c r="AW27" s="139"/>
      <c r="AX27" s="139"/>
      <c r="AY27" s="139"/>
      <c r="AZ27" s="556" t="str">
        <f>'Учебный план'!CD45</f>
        <v>64-5</v>
      </c>
      <c r="BA27" s="556" t="str">
        <f>'Учебный план'!CE45</f>
        <v>ОК 1-10; ПК 1.1-1.5, 3.1-3.3</v>
      </c>
    </row>
    <row r="28" spans="1:53" s="229" customFormat="1" ht="26.1" customHeight="1" x14ac:dyDescent="0.2">
      <c r="A28" s="554" t="str">
        <f>'Учебный план'!A46</f>
        <v>ОП.08</v>
      </c>
      <c r="B28" s="554" t="str">
        <f>'Учебный план'!B46</f>
        <v>Безопасность жизнедеятельности</v>
      </c>
      <c r="C28" s="134"/>
      <c r="D28" s="135"/>
      <c r="E28" s="135" t="s">
        <v>30</v>
      </c>
      <c r="F28" s="135"/>
      <c r="G28" s="135"/>
      <c r="H28" s="135"/>
      <c r="I28" s="139">
        <f t="shared" si="24"/>
        <v>0</v>
      </c>
      <c r="J28" s="135">
        <f t="shared" si="25"/>
        <v>22.2</v>
      </c>
      <c r="K28" s="555">
        <f>'Учебный план'!K46</f>
        <v>108</v>
      </c>
      <c r="L28" s="555">
        <f>'Учебный план'!L46</f>
        <v>74</v>
      </c>
      <c r="M28" s="138">
        <f t="shared" si="2"/>
        <v>108</v>
      </c>
      <c r="N28" s="138">
        <f t="shared" si="3"/>
        <v>10</v>
      </c>
      <c r="O28" s="138">
        <f t="shared" si="26"/>
        <v>10</v>
      </c>
      <c r="P28" s="138">
        <f t="shared" si="26"/>
        <v>0</v>
      </c>
      <c r="Q28" s="138">
        <f t="shared" si="26"/>
        <v>0</v>
      </c>
      <c r="R28" s="138">
        <f t="shared" si="7"/>
        <v>0</v>
      </c>
      <c r="S28" s="138">
        <f t="shared" si="27"/>
        <v>98</v>
      </c>
      <c r="T28" s="253">
        <f t="shared" si="28"/>
        <v>0</v>
      </c>
      <c r="U28" s="139"/>
      <c r="V28" s="139"/>
      <c r="W28" s="139"/>
      <c r="X28" s="139"/>
      <c r="Y28" s="139"/>
      <c r="Z28" s="253">
        <f t="shared" si="29"/>
        <v>0</v>
      </c>
      <c r="AA28" s="139"/>
      <c r="AB28" s="139"/>
      <c r="AC28" s="139"/>
      <c r="AD28" s="139"/>
      <c r="AE28" s="139"/>
      <c r="AF28" s="253">
        <f t="shared" si="30"/>
        <v>108</v>
      </c>
      <c r="AG28" s="139">
        <v>10</v>
      </c>
      <c r="AH28" s="139"/>
      <c r="AI28" s="139"/>
      <c r="AJ28" s="139"/>
      <c r="AK28" s="139">
        <v>98</v>
      </c>
      <c r="AL28" s="253">
        <f t="shared" si="31"/>
        <v>0</v>
      </c>
      <c r="AM28" s="139"/>
      <c r="AN28" s="139"/>
      <c r="AO28" s="139"/>
      <c r="AP28" s="139"/>
      <c r="AQ28" s="139"/>
      <c r="AR28" s="253">
        <f t="shared" si="10"/>
        <v>0</v>
      </c>
      <c r="AS28" s="139"/>
      <c r="AT28" s="139"/>
      <c r="AU28" s="139"/>
      <c r="AV28" s="139"/>
      <c r="AW28" s="139"/>
      <c r="AX28" s="139"/>
      <c r="AY28" s="139"/>
      <c r="AZ28" s="556" t="str">
        <f>'Учебный план'!CD46</f>
        <v>64-4</v>
      </c>
      <c r="BA28" s="556" t="str">
        <f>'Учебный план'!CE46</f>
        <v>ОК 1-10; ПК 1.1-1.5, 2.1-2.7, 3.1-3.3</v>
      </c>
    </row>
    <row r="29" spans="1:53" s="195" customFormat="1" ht="26.1" customHeight="1" x14ac:dyDescent="0.2">
      <c r="A29" s="551" t="str">
        <f>'Учебный план'!A47</f>
        <v>ПМ.00</v>
      </c>
      <c r="B29" s="551" t="str">
        <f>'Учебный план'!B47</f>
        <v>Профессиональные модули</v>
      </c>
      <c r="C29" s="559"/>
      <c r="D29" s="301"/>
      <c r="E29" s="301"/>
      <c r="F29" s="301"/>
      <c r="G29" s="301"/>
      <c r="H29" s="301"/>
      <c r="I29" s="301"/>
      <c r="J29" s="301"/>
      <c r="K29" s="552">
        <f>'Учебный план'!K47</f>
        <v>2031</v>
      </c>
      <c r="L29" s="552">
        <f>'Учебный план'!L47</f>
        <v>1357</v>
      </c>
      <c r="M29" s="302">
        <f t="shared" si="2"/>
        <v>2031</v>
      </c>
      <c r="N29" s="302">
        <f t="shared" si="3"/>
        <v>306</v>
      </c>
      <c r="O29" s="302">
        <f t="shared" ref="O29:Q30" si="32">AA29+AG29+AM29+AT29</f>
        <v>218</v>
      </c>
      <c r="P29" s="302">
        <f t="shared" si="32"/>
        <v>58</v>
      </c>
      <c r="Q29" s="302">
        <f t="shared" si="32"/>
        <v>30</v>
      </c>
      <c r="R29" s="302">
        <f t="shared" si="7"/>
        <v>0</v>
      </c>
      <c r="S29" s="302">
        <f>AE29+AK29+AQ29+AY29</f>
        <v>1725</v>
      </c>
      <c r="T29" s="552">
        <f t="shared" ref="T29:AY29" si="33">SUM(T30+T41+T46+T51)</f>
        <v>0</v>
      </c>
      <c r="U29" s="552">
        <f t="shared" si="33"/>
        <v>0</v>
      </c>
      <c r="V29" s="552">
        <f t="shared" si="33"/>
        <v>0</v>
      </c>
      <c r="W29" s="552">
        <f t="shared" si="33"/>
        <v>0</v>
      </c>
      <c r="X29" s="552">
        <f t="shared" si="33"/>
        <v>0</v>
      </c>
      <c r="Y29" s="552">
        <f t="shared" si="33"/>
        <v>0</v>
      </c>
      <c r="Z29" s="552">
        <f t="shared" si="33"/>
        <v>440</v>
      </c>
      <c r="AA29" s="552">
        <f t="shared" si="33"/>
        <v>62</v>
      </c>
      <c r="AB29" s="552">
        <f t="shared" si="33"/>
        <v>14</v>
      </c>
      <c r="AC29" s="552">
        <f t="shared" si="33"/>
        <v>0</v>
      </c>
      <c r="AD29" s="552">
        <f t="shared" si="33"/>
        <v>0</v>
      </c>
      <c r="AE29" s="552">
        <f t="shared" si="33"/>
        <v>364</v>
      </c>
      <c r="AF29" s="552">
        <f t="shared" si="33"/>
        <v>599</v>
      </c>
      <c r="AG29" s="552">
        <f t="shared" si="33"/>
        <v>54</v>
      </c>
      <c r="AH29" s="552">
        <f t="shared" si="33"/>
        <v>4</v>
      </c>
      <c r="AI29" s="552">
        <f t="shared" si="33"/>
        <v>30</v>
      </c>
      <c r="AJ29" s="552">
        <f t="shared" si="33"/>
        <v>0</v>
      </c>
      <c r="AK29" s="552">
        <f t="shared" si="33"/>
        <v>511</v>
      </c>
      <c r="AL29" s="552">
        <f t="shared" si="33"/>
        <v>992</v>
      </c>
      <c r="AM29" s="552">
        <f t="shared" si="33"/>
        <v>102</v>
      </c>
      <c r="AN29" s="552">
        <f t="shared" si="33"/>
        <v>40</v>
      </c>
      <c r="AO29" s="552">
        <f t="shared" si="33"/>
        <v>0</v>
      </c>
      <c r="AP29" s="552">
        <f t="shared" si="33"/>
        <v>0</v>
      </c>
      <c r="AQ29" s="552">
        <f t="shared" si="33"/>
        <v>850</v>
      </c>
      <c r="AR29" s="552">
        <f t="shared" si="33"/>
        <v>0</v>
      </c>
      <c r="AS29" s="552">
        <f t="shared" si="33"/>
        <v>0</v>
      </c>
      <c r="AT29" s="552">
        <f t="shared" si="33"/>
        <v>0</v>
      </c>
      <c r="AU29" s="552">
        <f t="shared" si="33"/>
        <v>0</v>
      </c>
      <c r="AV29" s="552">
        <f t="shared" si="33"/>
        <v>0</v>
      </c>
      <c r="AW29" s="552">
        <f t="shared" si="33"/>
        <v>0</v>
      </c>
      <c r="AX29" s="552">
        <f t="shared" si="33"/>
        <v>0</v>
      </c>
      <c r="AY29" s="552">
        <f t="shared" si="33"/>
        <v>0</v>
      </c>
      <c r="AZ29" s="553">
        <f>'Учебный план'!CD47</f>
        <v>0</v>
      </c>
      <c r="BA29" s="553">
        <f>'Учебный план'!CE47</f>
        <v>0</v>
      </c>
    </row>
    <row r="30" spans="1:53" s="229" customFormat="1" ht="26.1" customHeight="1" x14ac:dyDescent="0.2">
      <c r="A30" s="607" t="str">
        <f>'Учебный план'!A48</f>
        <v xml:space="preserve">ПМ.01              </v>
      </c>
      <c r="B30" s="843" t="str">
        <f>'Учебный план'!B48:H48</f>
        <v>Эксплуатация, техническое обслуживание и ремонт судового энергетичсеского оборудования</v>
      </c>
      <c r="C30" s="843"/>
      <c r="D30" s="843"/>
      <c r="E30" s="843"/>
      <c r="F30" s="843"/>
      <c r="G30" s="843"/>
      <c r="H30" s="608"/>
      <c r="I30" s="608"/>
      <c r="J30" s="608"/>
      <c r="K30" s="609">
        <f>'Учебный план'!K48</f>
        <v>1561</v>
      </c>
      <c r="L30" s="609">
        <f>'Учебный план'!L48</f>
        <v>1044</v>
      </c>
      <c r="M30" s="609">
        <f t="shared" si="2"/>
        <v>1561</v>
      </c>
      <c r="N30" s="609">
        <f t="shared" si="3"/>
        <v>236</v>
      </c>
      <c r="O30" s="609">
        <f t="shared" si="32"/>
        <v>154</v>
      </c>
      <c r="P30" s="609">
        <f t="shared" si="32"/>
        <v>52</v>
      </c>
      <c r="Q30" s="609">
        <f t="shared" si="32"/>
        <v>30</v>
      </c>
      <c r="R30" s="609">
        <f t="shared" si="7"/>
        <v>0</v>
      </c>
      <c r="S30" s="609">
        <f>AE30+AK30+AQ30+AY30</f>
        <v>1325</v>
      </c>
      <c r="T30" s="610">
        <f t="shared" ref="T30:AL30" si="34">SUM(T32:T39)</f>
        <v>0</v>
      </c>
      <c r="U30" s="610">
        <f t="shared" si="34"/>
        <v>0</v>
      </c>
      <c r="V30" s="610">
        <f t="shared" si="34"/>
        <v>0</v>
      </c>
      <c r="W30" s="610">
        <f t="shared" si="34"/>
        <v>0</v>
      </c>
      <c r="X30" s="610">
        <f t="shared" si="34"/>
        <v>0</v>
      </c>
      <c r="Y30" s="610">
        <f t="shared" si="34"/>
        <v>0</v>
      </c>
      <c r="Z30" s="610">
        <f t="shared" si="34"/>
        <v>281</v>
      </c>
      <c r="AA30" s="610">
        <f t="shared" si="34"/>
        <v>38</v>
      </c>
      <c r="AB30" s="610">
        <f t="shared" si="34"/>
        <v>8</v>
      </c>
      <c r="AC30" s="610">
        <f t="shared" si="34"/>
        <v>0</v>
      </c>
      <c r="AD30" s="610">
        <f t="shared" si="34"/>
        <v>0</v>
      </c>
      <c r="AE30" s="610">
        <f t="shared" si="34"/>
        <v>235</v>
      </c>
      <c r="AF30" s="610">
        <f t="shared" si="34"/>
        <v>395</v>
      </c>
      <c r="AG30" s="610">
        <f t="shared" si="34"/>
        <v>32</v>
      </c>
      <c r="AH30" s="610">
        <f t="shared" si="34"/>
        <v>4</v>
      </c>
      <c r="AI30" s="610">
        <f t="shared" si="34"/>
        <v>30</v>
      </c>
      <c r="AJ30" s="610">
        <f t="shared" si="34"/>
        <v>0</v>
      </c>
      <c r="AK30" s="610">
        <f t="shared" si="34"/>
        <v>329</v>
      </c>
      <c r="AL30" s="610">
        <f t="shared" si="34"/>
        <v>885</v>
      </c>
      <c r="AM30" s="610">
        <f>SUM(AM32:AM39)</f>
        <v>84</v>
      </c>
      <c r="AN30" s="610">
        <f>SUM(AN32:AN39)</f>
        <v>40</v>
      </c>
      <c r="AO30" s="610"/>
      <c r="AP30" s="610">
        <f t="shared" ref="AP30:AY30" si="35">SUM(AP32:AP39)</f>
        <v>0</v>
      </c>
      <c r="AQ30" s="610">
        <f t="shared" si="35"/>
        <v>761</v>
      </c>
      <c r="AR30" s="610">
        <f t="shared" si="35"/>
        <v>0</v>
      </c>
      <c r="AS30" s="610">
        <f t="shared" si="35"/>
        <v>0</v>
      </c>
      <c r="AT30" s="610">
        <f t="shared" si="35"/>
        <v>0</v>
      </c>
      <c r="AU30" s="610">
        <f t="shared" si="35"/>
        <v>0</v>
      </c>
      <c r="AV30" s="610">
        <f t="shared" si="35"/>
        <v>0</v>
      </c>
      <c r="AW30" s="610">
        <f t="shared" si="35"/>
        <v>0</v>
      </c>
      <c r="AX30" s="610">
        <f t="shared" si="35"/>
        <v>0</v>
      </c>
      <c r="AY30" s="610">
        <f t="shared" si="35"/>
        <v>0</v>
      </c>
      <c r="AZ30" s="611">
        <f>'Учебный план'!CD48</f>
        <v>0</v>
      </c>
      <c r="BA30" s="611" t="str">
        <f>'Учебный план'!CE48</f>
        <v>ОК 1-10; ПК 1.1-1.5</v>
      </c>
    </row>
    <row r="31" spans="1:53" s="229" customFormat="1" ht="26.1" customHeight="1" x14ac:dyDescent="0.2">
      <c r="A31" s="606" t="str">
        <f>'Учебный план'!A49</f>
        <v xml:space="preserve">МДК.01.01  </v>
      </c>
      <c r="B31" s="706" t="str">
        <f>'Учебный план'!B49:H49</f>
        <v>Основы эксплуатации, технического обслуживания и ремонта судового энергетического оборудования</v>
      </c>
      <c r="C31" s="706"/>
      <c r="D31" s="706"/>
      <c r="E31" s="706"/>
      <c r="F31" s="706"/>
      <c r="G31" s="706"/>
      <c r="H31" s="601"/>
      <c r="I31" s="601"/>
      <c r="J31" s="601"/>
      <c r="K31" s="600"/>
      <c r="L31" s="600"/>
      <c r="M31" s="600"/>
      <c r="N31" s="600"/>
      <c r="O31" s="600"/>
      <c r="P31" s="600"/>
      <c r="Q31" s="600"/>
      <c r="R31" s="600"/>
      <c r="S31" s="600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599"/>
      <c r="AJ31" s="599"/>
      <c r="AK31" s="599"/>
      <c r="AL31" s="599"/>
      <c r="AM31" s="599"/>
      <c r="AN31" s="599"/>
      <c r="AO31" s="599"/>
      <c r="AP31" s="599"/>
      <c r="AQ31" s="599"/>
      <c r="AR31" s="599"/>
      <c r="AS31" s="599"/>
      <c r="AT31" s="599"/>
      <c r="AU31" s="599"/>
      <c r="AV31" s="599"/>
      <c r="AW31" s="599"/>
      <c r="AX31" s="599"/>
      <c r="AY31" s="599"/>
      <c r="AZ31" s="602"/>
      <c r="BA31" s="602" t="str">
        <f>'Учебный план'!CE49</f>
        <v>ОК 1-10; ПК 1.1-1.5</v>
      </c>
    </row>
    <row r="32" spans="1:53" s="196" customFormat="1" ht="26.1" customHeight="1" x14ac:dyDescent="0.2">
      <c r="A32" s="560">
        <f>'Учебный план'!A50</f>
        <v>0</v>
      </c>
      <c r="B32" s="560" t="str">
        <f>'Учебный план'!B50</f>
        <v>Судовые энергетические установки и их эксплуатация (включая тренажер вахтенного механика)</v>
      </c>
      <c r="C32" s="134"/>
      <c r="D32" s="135" t="s">
        <v>30</v>
      </c>
      <c r="E32" s="135" t="s">
        <v>39</v>
      </c>
      <c r="F32" s="135"/>
      <c r="G32" s="135" t="s">
        <v>30</v>
      </c>
      <c r="H32" s="135"/>
      <c r="I32" s="139">
        <f t="shared" ref="I32:I39" si="36">K32-M32</f>
        <v>0</v>
      </c>
      <c r="J32" s="135">
        <f t="shared" ref="J32:J39" si="37">L32*$J$1</f>
        <v>105</v>
      </c>
      <c r="K32" s="555">
        <f>'Учебный план'!K50</f>
        <v>522</v>
      </c>
      <c r="L32" s="555">
        <f>'Учебный план'!L50</f>
        <v>350</v>
      </c>
      <c r="M32" s="138">
        <f t="shared" ref="M32:M39" si="38">SUM(N32+S32)</f>
        <v>522</v>
      </c>
      <c r="N32" s="138">
        <f t="shared" ref="N32:N39" si="39">SUM(O32:R32)</f>
        <v>102</v>
      </c>
      <c r="O32" s="138">
        <f t="shared" ref="O32:Q39" si="40">AA32+AG32+AM32+AT32+U32</f>
        <v>44</v>
      </c>
      <c r="P32" s="138">
        <f t="shared" si="40"/>
        <v>28</v>
      </c>
      <c r="Q32" s="138">
        <f t="shared" si="40"/>
        <v>30</v>
      </c>
      <c r="R32" s="138">
        <f t="shared" ref="R32:R39" si="41">AD32+AJ32+AP32+AW32</f>
        <v>0</v>
      </c>
      <c r="S32" s="138">
        <f t="shared" ref="S32:S39" si="42">AE32+AK32+AQ32+AY32+Y32</f>
        <v>420</v>
      </c>
      <c r="T32" s="253">
        <f t="shared" ref="T32:T37" si="43">SUM(U32:Y32)</f>
        <v>0</v>
      </c>
      <c r="U32" s="139"/>
      <c r="V32" s="139"/>
      <c r="W32" s="139"/>
      <c r="X32" s="139"/>
      <c r="Y32" s="139"/>
      <c r="Z32" s="253">
        <f t="shared" ref="Z32:Z37" si="44">SUM(AA32:AE32)</f>
        <v>170</v>
      </c>
      <c r="AA32" s="139">
        <v>24</v>
      </c>
      <c r="AB32" s="139">
        <v>6</v>
      </c>
      <c r="AC32" s="139"/>
      <c r="AD32" s="139"/>
      <c r="AE32" s="139">
        <v>140</v>
      </c>
      <c r="AF32" s="253">
        <f t="shared" ref="AF32:AF37" si="45">SUM(AG32:AK32)</f>
        <v>174</v>
      </c>
      <c r="AG32" s="139">
        <v>4</v>
      </c>
      <c r="AH32" s="139"/>
      <c r="AI32" s="139">
        <v>30</v>
      </c>
      <c r="AJ32" s="139"/>
      <c r="AK32" s="139">
        <v>140</v>
      </c>
      <c r="AL32" s="253">
        <f t="shared" ref="AL32:AL39" si="46">SUM(AM32:AQ32)</f>
        <v>178</v>
      </c>
      <c r="AM32" s="164">
        <v>16</v>
      </c>
      <c r="AN32" s="164">
        <v>22</v>
      </c>
      <c r="AO32" s="139"/>
      <c r="AP32" s="139"/>
      <c r="AQ32" s="139">
        <v>140</v>
      </c>
      <c r="AR32" s="253">
        <f t="shared" si="10"/>
        <v>0</v>
      </c>
      <c r="AS32" s="139"/>
      <c r="AT32" s="139"/>
      <c r="AU32" s="139"/>
      <c r="AV32" s="139"/>
      <c r="AW32" s="139"/>
      <c r="AX32" s="139"/>
      <c r="AY32" s="139"/>
      <c r="AZ32" s="556" t="str">
        <f>'Учебный план'!CD50</f>
        <v>64-5</v>
      </c>
      <c r="BA32" s="556" t="str">
        <f>'Учебный план'!CE50</f>
        <v>ОК 1-10; ПК 1.1-1.5</v>
      </c>
    </row>
    <row r="33" spans="1:53" s="196" customFormat="1" ht="26.1" customHeight="1" x14ac:dyDescent="0.2">
      <c r="A33" s="560">
        <f>'Учебный план'!A51</f>
        <v>0</v>
      </c>
      <c r="B33" s="560" t="str">
        <f>'Учебный план'!B51</f>
        <v>Судовые вспомогательные механизмы и их эксплуатация</v>
      </c>
      <c r="C33" s="134"/>
      <c r="D33" s="135" t="s">
        <v>30</v>
      </c>
      <c r="E33" s="135" t="s">
        <v>39</v>
      </c>
      <c r="F33" s="135"/>
      <c r="G33" s="135"/>
      <c r="H33" s="135"/>
      <c r="I33" s="139">
        <f t="shared" si="36"/>
        <v>0</v>
      </c>
      <c r="J33" s="135">
        <f t="shared" si="37"/>
        <v>69.3</v>
      </c>
      <c r="K33" s="555">
        <f>'Учебный план'!K51</f>
        <v>346</v>
      </c>
      <c r="L33" s="555">
        <f>'Учебный план'!L51</f>
        <v>231</v>
      </c>
      <c r="M33" s="138">
        <f t="shared" si="38"/>
        <v>346</v>
      </c>
      <c r="N33" s="138">
        <f t="shared" si="39"/>
        <v>48</v>
      </c>
      <c r="O33" s="138">
        <f t="shared" si="40"/>
        <v>42</v>
      </c>
      <c r="P33" s="138">
        <f t="shared" si="40"/>
        <v>6</v>
      </c>
      <c r="Q33" s="138">
        <f t="shared" si="40"/>
        <v>0</v>
      </c>
      <c r="R33" s="138">
        <f t="shared" si="41"/>
        <v>0</v>
      </c>
      <c r="S33" s="138">
        <f t="shared" si="42"/>
        <v>298</v>
      </c>
      <c r="T33" s="253">
        <f t="shared" si="43"/>
        <v>0</v>
      </c>
      <c r="U33" s="139"/>
      <c r="V33" s="139"/>
      <c r="W33" s="139"/>
      <c r="X33" s="139"/>
      <c r="Y33" s="139"/>
      <c r="Z33" s="253">
        <f t="shared" si="44"/>
        <v>111</v>
      </c>
      <c r="AA33" s="139">
        <v>14</v>
      </c>
      <c r="AB33" s="139">
        <v>2</v>
      </c>
      <c r="AC33" s="139"/>
      <c r="AD33" s="139"/>
      <c r="AE33" s="139">
        <v>95</v>
      </c>
      <c r="AF33" s="253">
        <f t="shared" si="45"/>
        <v>119</v>
      </c>
      <c r="AG33" s="139">
        <v>12</v>
      </c>
      <c r="AH33" s="139">
        <v>4</v>
      </c>
      <c r="AI33" s="139"/>
      <c r="AJ33" s="139"/>
      <c r="AK33" s="139">
        <v>103</v>
      </c>
      <c r="AL33" s="253">
        <f t="shared" si="46"/>
        <v>116</v>
      </c>
      <c r="AM33" s="139">
        <v>16</v>
      </c>
      <c r="AN33" s="139"/>
      <c r="AO33" s="139"/>
      <c r="AP33" s="139"/>
      <c r="AQ33" s="139">
        <v>100</v>
      </c>
      <c r="AR33" s="253">
        <f t="shared" si="10"/>
        <v>0</v>
      </c>
      <c r="AS33" s="139"/>
      <c r="AT33" s="139"/>
      <c r="AU33" s="139"/>
      <c r="AV33" s="139"/>
      <c r="AW33" s="139"/>
      <c r="AX33" s="139"/>
      <c r="AY33" s="139"/>
      <c r="AZ33" s="556" t="str">
        <f>'Учебный план'!CD51</f>
        <v>64-5</v>
      </c>
      <c r="BA33" s="556" t="str">
        <f>'Учебный план'!CE51</f>
        <v>ОК 1-10; ПК 1.1-1.5</v>
      </c>
    </row>
    <row r="34" spans="1:53" s="196" customFormat="1" ht="26.1" customHeight="1" x14ac:dyDescent="0.2">
      <c r="A34" s="560">
        <f>'Учебный план'!A52</f>
        <v>0</v>
      </c>
      <c r="B34" s="560" t="str">
        <f>'Учебный план'!B52</f>
        <v>Техническое обслуживание и ремонт судового оборудования</v>
      </c>
      <c r="C34" s="134"/>
      <c r="D34" s="135"/>
      <c r="E34" s="135" t="s">
        <v>39</v>
      </c>
      <c r="F34" s="135"/>
      <c r="G34" s="135"/>
      <c r="H34" s="135"/>
      <c r="I34" s="139">
        <f t="shared" si="36"/>
        <v>0</v>
      </c>
      <c r="J34" s="135">
        <f t="shared" si="37"/>
        <v>41.1</v>
      </c>
      <c r="K34" s="555">
        <f>'Учебный план'!K52</f>
        <v>205</v>
      </c>
      <c r="L34" s="555">
        <f>'Учебный план'!L52</f>
        <v>137</v>
      </c>
      <c r="M34" s="138">
        <f t="shared" si="38"/>
        <v>205</v>
      </c>
      <c r="N34" s="138">
        <f t="shared" si="39"/>
        <v>20</v>
      </c>
      <c r="O34" s="138">
        <f t="shared" si="40"/>
        <v>12</v>
      </c>
      <c r="P34" s="138">
        <f t="shared" si="40"/>
        <v>8</v>
      </c>
      <c r="Q34" s="138">
        <f t="shared" si="40"/>
        <v>0</v>
      </c>
      <c r="R34" s="138">
        <f t="shared" si="41"/>
        <v>0</v>
      </c>
      <c r="S34" s="138">
        <f t="shared" si="42"/>
        <v>185</v>
      </c>
      <c r="T34" s="253">
        <f t="shared" si="43"/>
        <v>0</v>
      </c>
      <c r="U34" s="139"/>
      <c r="V34" s="139"/>
      <c r="W34" s="139"/>
      <c r="X34" s="139"/>
      <c r="Y34" s="139"/>
      <c r="Z34" s="253">
        <f t="shared" si="44"/>
        <v>0</v>
      </c>
      <c r="AA34" s="139"/>
      <c r="AB34" s="139"/>
      <c r="AC34" s="139"/>
      <c r="AD34" s="139"/>
      <c r="AE34" s="139"/>
      <c r="AF34" s="253">
        <f t="shared" si="45"/>
        <v>0</v>
      </c>
      <c r="AG34" s="139"/>
      <c r="AH34" s="139"/>
      <c r="AI34" s="139"/>
      <c r="AJ34" s="139"/>
      <c r="AK34" s="139"/>
      <c r="AL34" s="253">
        <f t="shared" si="46"/>
        <v>205</v>
      </c>
      <c r="AM34" s="139">
        <v>12</v>
      </c>
      <c r="AN34" s="139">
        <v>8</v>
      </c>
      <c r="AO34" s="139"/>
      <c r="AP34" s="139"/>
      <c r="AQ34" s="139">
        <v>185</v>
      </c>
      <c r="AR34" s="253">
        <f t="shared" si="10"/>
        <v>0</v>
      </c>
      <c r="AS34" s="139"/>
      <c r="AT34" s="139"/>
      <c r="AU34" s="139"/>
      <c r="AV34" s="139"/>
      <c r="AW34" s="139"/>
      <c r="AX34" s="139"/>
      <c r="AY34" s="139"/>
      <c r="AZ34" s="556" t="str">
        <f>'Учебный план'!CD52</f>
        <v>64-5</v>
      </c>
      <c r="BA34" s="556" t="str">
        <f>'Учебный план'!CE52</f>
        <v>ОК 1-10; ПК 1.1-1.5</v>
      </c>
    </row>
    <row r="35" spans="1:53" s="196" customFormat="1" ht="26.1" customHeight="1" x14ac:dyDescent="0.2">
      <c r="A35" s="560">
        <f>'Учебный план'!A53</f>
        <v>0</v>
      </c>
      <c r="B35" s="560" t="str">
        <f>'Учебный план'!B53</f>
        <v>Техническая эксплуатация судовой автоматики</v>
      </c>
      <c r="C35" s="134"/>
      <c r="D35" s="135"/>
      <c r="E35" s="135" t="s">
        <v>39</v>
      </c>
      <c r="F35" s="135"/>
      <c r="G35" s="135"/>
      <c r="H35" s="135"/>
      <c r="I35" s="139">
        <f t="shared" si="36"/>
        <v>0</v>
      </c>
      <c r="J35" s="135">
        <f t="shared" si="37"/>
        <v>15.6</v>
      </c>
      <c r="K35" s="555">
        <f>'Учебный план'!K53</f>
        <v>78</v>
      </c>
      <c r="L35" s="555">
        <f>'Учебный план'!L53</f>
        <v>52</v>
      </c>
      <c r="M35" s="138">
        <f t="shared" si="38"/>
        <v>78</v>
      </c>
      <c r="N35" s="138">
        <f t="shared" si="39"/>
        <v>12</v>
      </c>
      <c r="O35" s="138">
        <f t="shared" si="40"/>
        <v>10</v>
      </c>
      <c r="P35" s="138">
        <f t="shared" si="40"/>
        <v>2</v>
      </c>
      <c r="Q35" s="138">
        <f t="shared" si="40"/>
        <v>0</v>
      </c>
      <c r="R35" s="138">
        <f t="shared" si="41"/>
        <v>0</v>
      </c>
      <c r="S35" s="138">
        <f t="shared" si="42"/>
        <v>66</v>
      </c>
      <c r="T35" s="253">
        <f t="shared" si="43"/>
        <v>0</v>
      </c>
      <c r="U35" s="139"/>
      <c r="V35" s="139"/>
      <c r="W35" s="139"/>
      <c r="X35" s="139"/>
      <c r="Y35" s="139"/>
      <c r="Z35" s="253">
        <f t="shared" si="44"/>
        <v>0</v>
      </c>
      <c r="AA35" s="139"/>
      <c r="AB35" s="139"/>
      <c r="AC35" s="139"/>
      <c r="AD35" s="139"/>
      <c r="AE35" s="139"/>
      <c r="AF35" s="253">
        <f t="shared" si="45"/>
        <v>0</v>
      </c>
      <c r="AG35" s="139"/>
      <c r="AH35" s="139"/>
      <c r="AI35" s="139"/>
      <c r="AJ35" s="139"/>
      <c r="AK35" s="139"/>
      <c r="AL35" s="253">
        <f t="shared" si="46"/>
        <v>78</v>
      </c>
      <c r="AM35" s="139">
        <v>10</v>
      </c>
      <c r="AN35" s="139">
        <v>2</v>
      </c>
      <c r="AO35" s="139"/>
      <c r="AP35" s="139"/>
      <c r="AQ35" s="139">
        <v>66</v>
      </c>
      <c r="AR35" s="253">
        <f t="shared" si="10"/>
        <v>0</v>
      </c>
      <c r="AS35" s="139"/>
      <c r="AT35" s="139"/>
      <c r="AU35" s="139"/>
      <c r="AV35" s="139"/>
      <c r="AW35" s="139"/>
      <c r="AX35" s="139"/>
      <c r="AY35" s="139"/>
      <c r="AZ35" s="556" t="str">
        <f>'Учебный план'!CD53</f>
        <v>64-5</v>
      </c>
      <c r="BA35" s="556" t="str">
        <f>'Учебный план'!CE53</f>
        <v>ОК 1-10; ПК 1.1-1.5</v>
      </c>
    </row>
    <row r="36" spans="1:53" s="196" customFormat="1" ht="26.1" customHeight="1" x14ac:dyDescent="0.2">
      <c r="A36" s="560">
        <f>'Учебный план'!A54</f>
        <v>0</v>
      </c>
      <c r="B36" s="560" t="str">
        <f>'Учебный план'!B54</f>
        <v>Электрооборудование судов</v>
      </c>
      <c r="C36" s="134"/>
      <c r="D36" s="135"/>
      <c r="E36" s="135" t="s">
        <v>39</v>
      </c>
      <c r="F36" s="135"/>
      <c r="G36" s="135"/>
      <c r="H36" s="135"/>
      <c r="I36" s="139">
        <f t="shared" si="36"/>
        <v>0</v>
      </c>
      <c r="J36" s="135">
        <f t="shared" si="37"/>
        <v>39.9</v>
      </c>
      <c r="K36" s="555">
        <f>'Учебный план'!K54</f>
        <v>199</v>
      </c>
      <c r="L36" s="555">
        <f>'Учебный план'!L54</f>
        <v>133</v>
      </c>
      <c r="M36" s="138">
        <f t="shared" si="38"/>
        <v>199</v>
      </c>
      <c r="N36" s="138">
        <f t="shared" si="39"/>
        <v>24</v>
      </c>
      <c r="O36" s="138">
        <f t="shared" si="40"/>
        <v>16</v>
      </c>
      <c r="P36" s="138">
        <f t="shared" si="40"/>
        <v>8</v>
      </c>
      <c r="Q36" s="138">
        <f t="shared" si="40"/>
        <v>0</v>
      </c>
      <c r="R36" s="138">
        <f t="shared" si="41"/>
        <v>0</v>
      </c>
      <c r="S36" s="138">
        <f t="shared" si="42"/>
        <v>175</v>
      </c>
      <c r="T36" s="253">
        <f t="shared" si="43"/>
        <v>0</v>
      </c>
      <c r="U36" s="139"/>
      <c r="V36" s="139"/>
      <c r="W36" s="139"/>
      <c r="X36" s="139"/>
      <c r="Y36" s="139"/>
      <c r="Z36" s="253">
        <f t="shared" si="44"/>
        <v>0</v>
      </c>
      <c r="AA36" s="139"/>
      <c r="AB36" s="139"/>
      <c r="AC36" s="139"/>
      <c r="AD36" s="139"/>
      <c r="AE36" s="139"/>
      <c r="AF36" s="253">
        <f t="shared" si="45"/>
        <v>0</v>
      </c>
      <c r="AG36" s="139"/>
      <c r="AH36" s="139"/>
      <c r="AI36" s="139"/>
      <c r="AJ36" s="139"/>
      <c r="AK36" s="139"/>
      <c r="AL36" s="253">
        <f t="shared" si="46"/>
        <v>199</v>
      </c>
      <c r="AM36" s="139">
        <v>16</v>
      </c>
      <c r="AN36" s="139">
        <v>8</v>
      </c>
      <c r="AO36" s="139"/>
      <c r="AP36" s="139"/>
      <c r="AQ36" s="139">
        <v>175</v>
      </c>
      <c r="AR36" s="253">
        <f t="shared" si="10"/>
        <v>0</v>
      </c>
      <c r="AS36" s="139"/>
      <c r="AT36" s="139"/>
      <c r="AU36" s="139"/>
      <c r="AV36" s="139"/>
      <c r="AW36" s="139"/>
      <c r="AX36" s="139"/>
      <c r="AY36" s="139"/>
      <c r="AZ36" s="556" t="str">
        <f>'Учебный план'!CD54</f>
        <v>64-6</v>
      </c>
      <c r="BA36" s="556" t="str">
        <f>'Учебный план'!CE54</f>
        <v>ОК 1-10; ПК 1.1-1.5</v>
      </c>
    </row>
    <row r="37" spans="1:53" s="196" customFormat="1" ht="26.1" customHeight="1" x14ac:dyDescent="0.2">
      <c r="A37" s="560">
        <f>'Учебный план'!A55</f>
        <v>0</v>
      </c>
      <c r="B37" s="560" t="str">
        <f>'Учебный план'!B55</f>
        <v>Национальные и международные требования по эксплуатации судна</v>
      </c>
      <c r="C37" s="134"/>
      <c r="D37" s="135"/>
      <c r="E37" s="135" t="s">
        <v>30</v>
      </c>
      <c r="F37" s="135"/>
      <c r="G37" s="135"/>
      <c r="H37" s="135"/>
      <c r="I37" s="139">
        <f t="shared" si="36"/>
        <v>0</v>
      </c>
      <c r="J37" s="135">
        <f t="shared" si="37"/>
        <v>9.6</v>
      </c>
      <c r="K37" s="555">
        <f>'Учебный план'!K55</f>
        <v>48</v>
      </c>
      <c r="L37" s="555">
        <f>'Учебный план'!L55</f>
        <v>32</v>
      </c>
      <c r="M37" s="138">
        <f t="shared" si="38"/>
        <v>48</v>
      </c>
      <c r="N37" s="138">
        <f t="shared" si="39"/>
        <v>8</v>
      </c>
      <c r="O37" s="138">
        <f t="shared" si="40"/>
        <v>8</v>
      </c>
      <c r="P37" s="138">
        <f t="shared" si="40"/>
        <v>0</v>
      </c>
      <c r="Q37" s="138">
        <f t="shared" si="40"/>
        <v>0</v>
      </c>
      <c r="R37" s="138">
        <f t="shared" si="41"/>
        <v>0</v>
      </c>
      <c r="S37" s="138">
        <f t="shared" si="42"/>
        <v>40</v>
      </c>
      <c r="T37" s="253">
        <f t="shared" si="43"/>
        <v>0</v>
      </c>
      <c r="U37" s="139"/>
      <c r="V37" s="139"/>
      <c r="W37" s="139"/>
      <c r="X37" s="139"/>
      <c r="Y37" s="139"/>
      <c r="Z37" s="253">
        <f t="shared" si="44"/>
        <v>0</v>
      </c>
      <c r="AA37" s="139"/>
      <c r="AB37" s="139"/>
      <c r="AC37" s="139"/>
      <c r="AD37" s="139"/>
      <c r="AE37" s="139"/>
      <c r="AF37" s="253">
        <f t="shared" si="45"/>
        <v>48</v>
      </c>
      <c r="AG37" s="139">
        <v>8</v>
      </c>
      <c r="AH37" s="139"/>
      <c r="AI37" s="139"/>
      <c r="AJ37" s="139"/>
      <c r="AK37" s="139">
        <v>40</v>
      </c>
      <c r="AL37" s="253">
        <f t="shared" si="46"/>
        <v>0</v>
      </c>
      <c r="AM37" s="139"/>
      <c r="AN37" s="139"/>
      <c r="AO37" s="139"/>
      <c r="AP37" s="139"/>
      <c r="AQ37" s="139"/>
      <c r="AR37" s="253">
        <f t="shared" ref="AR37" si="47">SUM(AS37:AY37)</f>
        <v>0</v>
      </c>
      <c r="AS37" s="139"/>
      <c r="AT37" s="139"/>
      <c r="AU37" s="139"/>
      <c r="AV37" s="139"/>
      <c r="AW37" s="139"/>
      <c r="AX37" s="139"/>
      <c r="AY37" s="139"/>
      <c r="AZ37" s="556" t="str">
        <f>'Учебный план'!CD55</f>
        <v>64-5</v>
      </c>
      <c r="BA37" s="556" t="str">
        <f>'Учебный план'!CE55</f>
        <v>ОК 1-10; ПК 1.1-1.5</v>
      </c>
    </row>
    <row r="38" spans="1:53" s="196" customFormat="1" ht="26.1" customHeight="1" x14ac:dyDescent="0.2">
      <c r="A38" s="560">
        <f>'Учебный план'!A56</f>
        <v>0</v>
      </c>
      <c r="B38" s="560" t="str">
        <f>'Учебный план'!B56</f>
        <v>Эксплуатация и техническое обслуживание судов</v>
      </c>
      <c r="C38" s="134"/>
      <c r="D38" s="135"/>
      <c r="E38" s="135" t="s">
        <v>39</v>
      </c>
      <c r="F38" s="135"/>
      <c r="G38" s="135"/>
      <c r="H38" s="135"/>
      <c r="I38" s="139">
        <f t="shared" ref="I38" si="48">K38-M38</f>
        <v>0</v>
      </c>
      <c r="J38" s="135">
        <f t="shared" ref="J38" si="49">L38*$J$1</f>
        <v>21.9</v>
      </c>
      <c r="K38" s="555">
        <f>'Учебный план'!K56</f>
        <v>109</v>
      </c>
      <c r="L38" s="555">
        <f>'Учебный план'!L56</f>
        <v>73</v>
      </c>
      <c r="M38" s="138">
        <f t="shared" si="38"/>
        <v>109</v>
      </c>
      <c r="N38" s="138">
        <f t="shared" si="39"/>
        <v>14</v>
      </c>
      <c r="O38" s="138">
        <f t="shared" si="40"/>
        <v>14</v>
      </c>
      <c r="P38" s="138">
        <f t="shared" si="40"/>
        <v>0</v>
      </c>
      <c r="Q38" s="138">
        <f t="shared" si="40"/>
        <v>0</v>
      </c>
      <c r="R38" s="138">
        <f t="shared" si="41"/>
        <v>0</v>
      </c>
      <c r="S38" s="138">
        <f t="shared" si="42"/>
        <v>95</v>
      </c>
      <c r="T38" s="253"/>
      <c r="U38" s="139"/>
      <c r="V38" s="139"/>
      <c r="W38" s="139"/>
      <c r="X38" s="139"/>
      <c r="Y38" s="139"/>
      <c r="Z38" s="253"/>
      <c r="AA38" s="139"/>
      <c r="AB38" s="139"/>
      <c r="AC38" s="139"/>
      <c r="AD38" s="139"/>
      <c r="AE38" s="139"/>
      <c r="AF38" s="253"/>
      <c r="AG38" s="139"/>
      <c r="AH38" s="139"/>
      <c r="AI38" s="139"/>
      <c r="AJ38" s="139"/>
      <c r="AK38" s="139"/>
      <c r="AL38" s="253">
        <f t="shared" si="46"/>
        <v>109</v>
      </c>
      <c r="AM38" s="139">
        <v>14</v>
      </c>
      <c r="AN38" s="139"/>
      <c r="AO38" s="139"/>
      <c r="AP38" s="139"/>
      <c r="AQ38" s="139">
        <v>95</v>
      </c>
      <c r="AR38" s="253"/>
      <c r="AS38" s="139"/>
      <c r="AT38" s="139"/>
      <c r="AU38" s="139"/>
      <c r="AV38" s="139"/>
      <c r="AW38" s="139"/>
      <c r="AX38" s="139"/>
      <c r="AY38" s="139"/>
      <c r="AZ38" s="556" t="str">
        <f>'Учебный план'!CD56</f>
        <v>64-5</v>
      </c>
      <c r="BA38" s="556" t="str">
        <f>'Учебный план'!CE56</f>
        <v>ОК 1-10; ПК 1.2</v>
      </c>
    </row>
    <row r="39" spans="1:53" s="196" customFormat="1" ht="26.1" customHeight="1" x14ac:dyDescent="0.2">
      <c r="A39" s="560">
        <f>'Учебный план'!A57</f>
        <v>0</v>
      </c>
      <c r="B39" s="560" t="str">
        <f>'Учебный план'!B57</f>
        <v>Предотвращение загрязнения морской окружающей среды</v>
      </c>
      <c r="C39" s="134"/>
      <c r="D39" s="135"/>
      <c r="E39" s="135" t="s">
        <v>30</v>
      </c>
      <c r="F39" s="135"/>
      <c r="G39" s="135"/>
      <c r="H39" s="135"/>
      <c r="I39" s="139">
        <f t="shared" si="36"/>
        <v>0</v>
      </c>
      <c r="J39" s="135">
        <f t="shared" si="37"/>
        <v>10.8</v>
      </c>
      <c r="K39" s="555">
        <f>'Учебный план'!K57</f>
        <v>54</v>
      </c>
      <c r="L39" s="555">
        <f>'Учебный план'!L57</f>
        <v>36</v>
      </c>
      <c r="M39" s="138">
        <f t="shared" si="38"/>
        <v>54</v>
      </c>
      <c r="N39" s="138">
        <f t="shared" si="39"/>
        <v>8</v>
      </c>
      <c r="O39" s="138">
        <f t="shared" si="40"/>
        <v>8</v>
      </c>
      <c r="P39" s="138">
        <f t="shared" si="40"/>
        <v>0</v>
      </c>
      <c r="Q39" s="138">
        <f t="shared" si="40"/>
        <v>0</v>
      </c>
      <c r="R39" s="138">
        <f t="shared" si="41"/>
        <v>0</v>
      </c>
      <c r="S39" s="138">
        <f t="shared" si="42"/>
        <v>46</v>
      </c>
      <c r="T39" s="253">
        <f>SUM(U39:Y39)</f>
        <v>0</v>
      </c>
      <c r="U39" s="139"/>
      <c r="V39" s="139"/>
      <c r="W39" s="139"/>
      <c r="X39" s="139"/>
      <c r="Y39" s="139"/>
      <c r="Z39" s="253">
        <f>SUM(AA39:AE39)</f>
        <v>0</v>
      </c>
      <c r="AA39" s="139"/>
      <c r="AB39" s="139"/>
      <c r="AC39" s="139"/>
      <c r="AD39" s="139"/>
      <c r="AE39" s="139"/>
      <c r="AF39" s="253">
        <f>SUM(AG39:AK39)</f>
        <v>54</v>
      </c>
      <c r="AG39" s="139">
        <v>8</v>
      </c>
      <c r="AH39" s="139"/>
      <c r="AI39" s="139"/>
      <c r="AJ39" s="139"/>
      <c r="AK39" s="139">
        <v>46</v>
      </c>
      <c r="AL39" s="253">
        <f t="shared" si="46"/>
        <v>0</v>
      </c>
      <c r="AM39" s="139"/>
      <c r="AN39" s="139"/>
      <c r="AO39" s="139"/>
      <c r="AP39" s="139"/>
      <c r="AQ39" s="139"/>
      <c r="AR39" s="253">
        <f t="shared" si="10"/>
        <v>0</v>
      </c>
      <c r="AS39" s="139"/>
      <c r="AT39" s="139"/>
      <c r="AU39" s="139"/>
      <c r="AV39" s="139"/>
      <c r="AW39" s="139"/>
      <c r="AX39" s="139"/>
      <c r="AY39" s="139"/>
      <c r="AZ39" s="556" t="str">
        <f>'Учебный план'!CD57</f>
        <v>64-4</v>
      </c>
      <c r="BA39" s="556" t="str">
        <f>'Учебный план'!CE57</f>
        <v>ОК 1 - 10, ПК 1.5</v>
      </c>
    </row>
    <row r="40" spans="1:53" s="196" customFormat="1" ht="26.1" customHeight="1" x14ac:dyDescent="0.2">
      <c r="A40" s="561" t="str">
        <f>'Учебный план'!A58</f>
        <v>Экзамен квалификационный</v>
      </c>
      <c r="B40" s="562"/>
      <c r="C40" s="562"/>
      <c r="D40" s="546" t="s">
        <v>39</v>
      </c>
      <c r="E40" s="563"/>
      <c r="F40" s="563"/>
      <c r="G40" s="563"/>
      <c r="H40" s="563"/>
      <c r="I40" s="563"/>
      <c r="J40" s="562"/>
      <c r="K40" s="564"/>
      <c r="L40" s="564"/>
      <c r="M40" s="564"/>
      <c r="N40" s="564"/>
      <c r="O40" s="564"/>
      <c r="P40" s="564"/>
      <c r="Q40" s="564"/>
      <c r="R40" s="564"/>
      <c r="S40" s="564"/>
      <c r="T40" s="564"/>
      <c r="U40" s="565"/>
      <c r="V40" s="565"/>
      <c r="W40" s="565"/>
      <c r="X40" s="565"/>
      <c r="Y40" s="565"/>
      <c r="Z40" s="564"/>
      <c r="AA40" s="565"/>
      <c r="AB40" s="565"/>
      <c r="AC40" s="565"/>
      <c r="AD40" s="565"/>
      <c r="AE40" s="565"/>
      <c r="AF40" s="564"/>
      <c r="AG40" s="565"/>
      <c r="AH40" s="565"/>
      <c r="AI40" s="565"/>
      <c r="AJ40" s="565"/>
      <c r="AK40" s="565"/>
      <c r="AL40" s="564"/>
      <c r="AM40" s="565"/>
      <c r="AN40" s="565"/>
      <c r="AO40" s="565"/>
      <c r="AP40" s="565"/>
      <c r="AQ40" s="565"/>
      <c r="AR40" s="564"/>
      <c r="AS40" s="565"/>
      <c r="AT40" s="565"/>
      <c r="AU40" s="565"/>
      <c r="AV40" s="565"/>
      <c r="AW40" s="565"/>
      <c r="AX40" s="565"/>
      <c r="AY40" s="565"/>
      <c r="AZ40" s="566">
        <f>'Учебный план'!CD58</f>
        <v>0</v>
      </c>
      <c r="BA40" s="566">
        <f>'Учебный план'!CE58</f>
        <v>0</v>
      </c>
    </row>
    <row r="41" spans="1:53" s="229" customFormat="1" ht="26.1" customHeight="1" x14ac:dyDescent="0.2">
      <c r="A41" s="612" t="str">
        <f>'Учебный план'!A59</f>
        <v xml:space="preserve">ПМ.02 </v>
      </c>
      <c r="B41" s="843" t="str">
        <f>'Учебный план'!B59:H59</f>
        <v>Обеспечение безопасности плавания</v>
      </c>
      <c r="C41" s="843"/>
      <c r="D41" s="843"/>
      <c r="E41" s="843"/>
      <c r="F41" s="843"/>
      <c r="G41" s="843"/>
      <c r="H41" s="843"/>
      <c r="I41" s="607"/>
      <c r="J41" s="607"/>
      <c r="K41" s="609">
        <f>'Учебный план'!K59</f>
        <v>204</v>
      </c>
      <c r="L41" s="609">
        <f>'Учебный план'!L59</f>
        <v>136</v>
      </c>
      <c r="M41" s="609">
        <f>SUM(N41+S41)</f>
        <v>204</v>
      </c>
      <c r="N41" s="609">
        <f>SUM(O41:R41)</f>
        <v>22</v>
      </c>
      <c r="O41" s="609">
        <f>AA41+AG41+AM41+AT41</f>
        <v>22</v>
      </c>
      <c r="P41" s="609">
        <f>AB41+AH41+AN41+AU41</f>
        <v>0</v>
      </c>
      <c r="Q41" s="609">
        <f>AC41+AI41+AO41+AV41</f>
        <v>0</v>
      </c>
      <c r="R41" s="609">
        <f>AD41+AJ41+AP41+AW41</f>
        <v>0</v>
      </c>
      <c r="S41" s="609">
        <f>AE41+AK41+AQ41+AY41</f>
        <v>182</v>
      </c>
      <c r="T41" s="610">
        <f t="shared" ref="T41:AY41" si="50">SUM(T43:T45)</f>
        <v>0</v>
      </c>
      <c r="U41" s="610">
        <f t="shared" si="50"/>
        <v>0</v>
      </c>
      <c r="V41" s="610">
        <f t="shared" si="50"/>
        <v>0</v>
      </c>
      <c r="W41" s="610">
        <f t="shared" si="50"/>
        <v>0</v>
      </c>
      <c r="X41" s="610">
        <f t="shared" si="50"/>
        <v>0</v>
      </c>
      <c r="Y41" s="610">
        <f t="shared" si="50"/>
        <v>0</v>
      </c>
      <c r="Z41" s="610">
        <f t="shared" si="50"/>
        <v>54</v>
      </c>
      <c r="AA41" s="610">
        <f t="shared" si="50"/>
        <v>10</v>
      </c>
      <c r="AB41" s="610">
        <f t="shared" si="50"/>
        <v>0</v>
      </c>
      <c r="AC41" s="610">
        <f t="shared" si="50"/>
        <v>0</v>
      </c>
      <c r="AD41" s="610">
        <f t="shared" si="50"/>
        <v>0</v>
      </c>
      <c r="AE41" s="610">
        <f t="shared" si="50"/>
        <v>44</v>
      </c>
      <c r="AF41" s="610">
        <f t="shared" si="50"/>
        <v>150</v>
      </c>
      <c r="AG41" s="610">
        <f t="shared" si="50"/>
        <v>12</v>
      </c>
      <c r="AH41" s="610">
        <f t="shared" si="50"/>
        <v>0</v>
      </c>
      <c r="AI41" s="610">
        <f t="shared" si="50"/>
        <v>0</v>
      </c>
      <c r="AJ41" s="610">
        <f t="shared" si="50"/>
        <v>0</v>
      </c>
      <c r="AK41" s="610">
        <f t="shared" si="50"/>
        <v>138</v>
      </c>
      <c r="AL41" s="610">
        <f t="shared" si="50"/>
        <v>0</v>
      </c>
      <c r="AM41" s="610">
        <f t="shared" si="50"/>
        <v>0</v>
      </c>
      <c r="AN41" s="610">
        <f t="shared" si="50"/>
        <v>0</v>
      </c>
      <c r="AO41" s="610">
        <f t="shared" si="50"/>
        <v>0</v>
      </c>
      <c r="AP41" s="610">
        <f t="shared" si="50"/>
        <v>0</v>
      </c>
      <c r="AQ41" s="610">
        <f t="shared" si="50"/>
        <v>0</v>
      </c>
      <c r="AR41" s="610">
        <f t="shared" si="50"/>
        <v>0</v>
      </c>
      <c r="AS41" s="610">
        <f t="shared" si="50"/>
        <v>0</v>
      </c>
      <c r="AT41" s="610">
        <f t="shared" si="50"/>
        <v>0</v>
      </c>
      <c r="AU41" s="610">
        <f t="shared" si="50"/>
        <v>0</v>
      </c>
      <c r="AV41" s="610">
        <f t="shared" si="50"/>
        <v>0</v>
      </c>
      <c r="AW41" s="610">
        <f t="shared" si="50"/>
        <v>0</v>
      </c>
      <c r="AX41" s="610">
        <f t="shared" si="50"/>
        <v>0</v>
      </c>
      <c r="AY41" s="610">
        <f t="shared" si="50"/>
        <v>0</v>
      </c>
      <c r="AZ41" s="611">
        <f>'Учебный план'!CD59</f>
        <v>0</v>
      </c>
      <c r="BA41" s="611" t="str">
        <f>'Учебный план'!CE59</f>
        <v>ОК 1-10; ПК 2.1-2.7</v>
      </c>
    </row>
    <row r="42" spans="1:53" s="229" customFormat="1" ht="26.1" customHeight="1" x14ac:dyDescent="0.2">
      <c r="A42" s="604" t="str">
        <f>'Учебный план'!A60</f>
        <v>МДК.02.01</v>
      </c>
      <c r="B42" s="706" t="str">
        <f>'Учебный план'!B60:H60</f>
        <v xml:space="preserve">Безопасность жизнедеятельности на судне и транспортная безопасность </v>
      </c>
      <c r="C42" s="706"/>
      <c r="D42" s="706"/>
      <c r="E42" s="706"/>
      <c r="F42" s="706"/>
      <c r="G42" s="706"/>
      <c r="H42" s="706"/>
      <c r="I42" s="606"/>
      <c r="J42" s="606"/>
      <c r="K42" s="600"/>
      <c r="L42" s="600"/>
      <c r="M42" s="600"/>
      <c r="N42" s="600"/>
      <c r="O42" s="600"/>
      <c r="P42" s="600"/>
      <c r="Q42" s="600"/>
      <c r="R42" s="600"/>
      <c r="S42" s="600"/>
      <c r="T42" s="599"/>
      <c r="U42" s="599"/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599"/>
      <c r="AG42" s="599"/>
      <c r="AH42" s="599"/>
      <c r="AI42" s="599"/>
      <c r="AJ42" s="599"/>
      <c r="AK42" s="599"/>
      <c r="AL42" s="599"/>
      <c r="AM42" s="599"/>
      <c r="AN42" s="599"/>
      <c r="AO42" s="599"/>
      <c r="AP42" s="599"/>
      <c r="AQ42" s="599"/>
      <c r="AR42" s="599"/>
      <c r="AS42" s="599"/>
      <c r="AT42" s="599"/>
      <c r="AU42" s="599"/>
      <c r="AV42" s="599"/>
      <c r="AW42" s="599"/>
      <c r="AX42" s="599"/>
      <c r="AY42" s="599"/>
      <c r="AZ42" s="602"/>
      <c r="BA42" s="602" t="str">
        <f>'Учебный план'!CE60</f>
        <v>ОК 1-10; ПК 2.1-2.7</v>
      </c>
    </row>
    <row r="43" spans="1:53" s="196" customFormat="1" ht="26.1" customHeight="1" x14ac:dyDescent="0.2">
      <c r="A43" s="560">
        <f>'Учебный план'!A61</f>
        <v>0</v>
      </c>
      <c r="B43" s="569" t="str">
        <f>'Учебный план'!B61</f>
        <v xml:space="preserve">Безопасность жизнедеятельности на судне и транспортная безопасность </v>
      </c>
      <c r="C43" s="134"/>
      <c r="D43" s="135"/>
      <c r="E43" s="135"/>
      <c r="F43" s="490" t="s">
        <v>30</v>
      </c>
      <c r="G43" s="135"/>
      <c r="H43" s="135"/>
      <c r="I43" s="139">
        <f t="shared" ref="I43:I44" si="51">K43-M43</f>
        <v>0</v>
      </c>
      <c r="J43" s="135">
        <f t="shared" ref="J43:J44" si="52">L43*$J$1</f>
        <v>30</v>
      </c>
      <c r="K43" s="555">
        <f>'Учебный план'!K61</f>
        <v>150</v>
      </c>
      <c r="L43" s="555">
        <f>'Учебный план'!L61</f>
        <v>100</v>
      </c>
      <c r="M43" s="138">
        <f>SUM(N43+S43)</f>
        <v>150</v>
      </c>
      <c r="N43" s="138">
        <f>SUM(O43:R43)</f>
        <v>12</v>
      </c>
      <c r="O43" s="138">
        <f t="shared" ref="O43:Q44" si="53">AA43+AG43+AM43+AT43+U43</f>
        <v>12</v>
      </c>
      <c r="P43" s="138">
        <f t="shared" si="53"/>
        <v>0</v>
      </c>
      <c r="Q43" s="138">
        <f t="shared" si="53"/>
        <v>0</v>
      </c>
      <c r="R43" s="138">
        <f>AD43+AJ43+AP43+AW43</f>
        <v>0</v>
      </c>
      <c r="S43" s="138">
        <f>AE43+AK43+AQ43+AY43+Y43</f>
        <v>138</v>
      </c>
      <c r="T43" s="253">
        <f>SUM(U43:Y43)</f>
        <v>0</v>
      </c>
      <c r="U43" s="139"/>
      <c r="V43" s="139"/>
      <c r="W43" s="139"/>
      <c r="X43" s="139"/>
      <c r="Y43" s="139"/>
      <c r="Z43" s="253">
        <f>SUM(AA43:AE43)</f>
        <v>0</v>
      </c>
      <c r="AA43" s="139"/>
      <c r="AB43" s="139"/>
      <c r="AC43" s="139"/>
      <c r="AD43" s="139"/>
      <c r="AE43" s="139"/>
      <c r="AF43" s="253">
        <f>SUM(AG43:AK43)</f>
        <v>150</v>
      </c>
      <c r="AG43" s="139">
        <v>12</v>
      </c>
      <c r="AH43" s="139"/>
      <c r="AI43" s="139"/>
      <c r="AJ43" s="139"/>
      <c r="AK43" s="139">
        <v>138</v>
      </c>
      <c r="AL43" s="253">
        <f>SUM(AM43:AQ43)</f>
        <v>0</v>
      </c>
      <c r="AM43" s="139"/>
      <c r="AN43" s="139"/>
      <c r="AO43" s="139"/>
      <c r="AP43" s="139"/>
      <c r="AQ43" s="139"/>
      <c r="AR43" s="253">
        <f t="shared" si="10"/>
        <v>0</v>
      </c>
      <c r="AS43" s="139"/>
      <c r="AT43" s="139"/>
      <c r="AU43" s="139"/>
      <c r="AV43" s="139"/>
      <c r="AW43" s="139"/>
      <c r="AX43" s="139"/>
      <c r="AY43" s="139"/>
      <c r="AZ43" s="556" t="str">
        <f>'Учебный план'!CD61</f>
        <v>64-4</v>
      </c>
      <c r="BA43" s="556" t="str">
        <f>'Учебный план'!CE61</f>
        <v>ОК 1-10; ПК 2.1-2.7</v>
      </c>
    </row>
    <row r="44" spans="1:53" s="196" customFormat="1" ht="26.1" customHeight="1" x14ac:dyDescent="0.2">
      <c r="A44" s="560">
        <f>'Учебный план'!A62</f>
        <v>0</v>
      </c>
      <c r="B44" s="569" t="str">
        <f>'Учебный план'!B62</f>
        <v>Техника безопасности на судах</v>
      </c>
      <c r="C44" s="134"/>
      <c r="D44" s="135"/>
      <c r="E44" s="135" t="s">
        <v>31</v>
      </c>
      <c r="F44" s="135"/>
      <c r="G44" s="135"/>
      <c r="H44" s="135"/>
      <c r="I44" s="139">
        <f t="shared" si="51"/>
        <v>0</v>
      </c>
      <c r="J44" s="135">
        <f t="shared" si="52"/>
        <v>10.8</v>
      </c>
      <c r="K44" s="555">
        <f>'Учебный план'!K62</f>
        <v>54</v>
      </c>
      <c r="L44" s="555">
        <f>'Учебный план'!L62</f>
        <v>36</v>
      </c>
      <c r="M44" s="138">
        <f>SUM(N44+S44)</f>
        <v>54</v>
      </c>
      <c r="N44" s="138">
        <f>SUM(O44:R44)</f>
        <v>10</v>
      </c>
      <c r="O44" s="138">
        <f t="shared" si="53"/>
        <v>10</v>
      </c>
      <c r="P44" s="138">
        <f t="shared" si="53"/>
        <v>0</v>
      </c>
      <c r="Q44" s="138">
        <f t="shared" si="53"/>
        <v>0</v>
      </c>
      <c r="R44" s="138">
        <f>AD44+AJ44+AP44+AW44</f>
        <v>0</v>
      </c>
      <c r="S44" s="138">
        <f>AE44+AK44+AQ44+AY44+Y44</f>
        <v>44</v>
      </c>
      <c r="T44" s="253">
        <f>SUM(U44:Y44)</f>
        <v>0</v>
      </c>
      <c r="U44" s="139"/>
      <c r="V44" s="139"/>
      <c r="W44" s="139"/>
      <c r="X44" s="139"/>
      <c r="Y44" s="139"/>
      <c r="Z44" s="253">
        <f>SUM(AA44:AE44)</f>
        <v>54</v>
      </c>
      <c r="AA44" s="139">
        <v>10</v>
      </c>
      <c r="AB44" s="139"/>
      <c r="AC44" s="139"/>
      <c r="AD44" s="139"/>
      <c r="AE44" s="139">
        <v>44</v>
      </c>
      <c r="AF44" s="253">
        <f>SUM(AG44:AK44)</f>
        <v>0</v>
      </c>
      <c r="AG44" s="139"/>
      <c r="AH44" s="139"/>
      <c r="AI44" s="139"/>
      <c r="AJ44" s="139"/>
      <c r="AK44" s="139"/>
      <c r="AL44" s="253">
        <f>SUM(AM44:AQ44)</f>
        <v>0</v>
      </c>
      <c r="AM44" s="139"/>
      <c r="AN44" s="139"/>
      <c r="AO44" s="139"/>
      <c r="AP44" s="139"/>
      <c r="AQ44" s="139"/>
      <c r="AR44" s="253">
        <f t="shared" si="10"/>
        <v>0</v>
      </c>
      <c r="AS44" s="139"/>
      <c r="AT44" s="139"/>
      <c r="AU44" s="139"/>
      <c r="AV44" s="139"/>
      <c r="AW44" s="139"/>
      <c r="AX44" s="139"/>
      <c r="AY44" s="139"/>
      <c r="AZ44" s="556" t="str">
        <f>'Учебный план'!CD62</f>
        <v>64-3</v>
      </c>
      <c r="BA44" s="556" t="str">
        <f>'Учебный план'!CE62</f>
        <v>ОК 1-10; ПК 2.1-2.7</v>
      </c>
    </row>
    <row r="45" spans="1:53" s="196" customFormat="1" ht="26.1" customHeight="1" x14ac:dyDescent="0.2">
      <c r="A45" s="561" t="str">
        <f>'Учебный план'!A64</f>
        <v>Экзамен квалификационный</v>
      </c>
      <c r="B45" s="570"/>
      <c r="C45" s="570"/>
      <c r="D45" s="433" t="s">
        <v>30</v>
      </c>
      <c r="E45" s="433"/>
      <c r="F45" s="433"/>
      <c r="G45" s="433"/>
      <c r="H45" s="433"/>
      <c r="I45" s="433"/>
      <c r="J45" s="433"/>
      <c r="K45" s="564">
        <f>'Учебный план'!K64</f>
        <v>0</v>
      </c>
      <c r="L45" s="564">
        <f>'Учебный план'!L64</f>
        <v>0</v>
      </c>
      <c r="M45" s="564"/>
      <c r="N45" s="564"/>
      <c r="O45" s="564"/>
      <c r="P45" s="564"/>
      <c r="Q45" s="564"/>
      <c r="R45" s="564"/>
      <c r="S45" s="564"/>
      <c r="T45" s="564"/>
      <c r="U45" s="565"/>
      <c r="V45" s="565"/>
      <c r="W45" s="565"/>
      <c r="X45" s="565"/>
      <c r="Y45" s="565"/>
      <c r="Z45" s="564"/>
      <c r="AA45" s="565"/>
      <c r="AB45" s="565"/>
      <c r="AC45" s="565"/>
      <c r="AD45" s="565"/>
      <c r="AE45" s="565"/>
      <c r="AF45" s="564"/>
      <c r="AG45" s="565"/>
      <c r="AH45" s="565"/>
      <c r="AI45" s="565"/>
      <c r="AJ45" s="565"/>
      <c r="AK45" s="565"/>
      <c r="AL45" s="564"/>
      <c r="AM45" s="565"/>
      <c r="AN45" s="565"/>
      <c r="AO45" s="565"/>
      <c r="AP45" s="565"/>
      <c r="AQ45" s="565"/>
      <c r="AR45" s="564"/>
      <c r="AS45" s="565"/>
      <c r="AT45" s="565"/>
      <c r="AU45" s="565"/>
      <c r="AV45" s="565"/>
      <c r="AW45" s="565"/>
      <c r="AX45" s="565"/>
      <c r="AY45" s="565"/>
      <c r="AZ45" s="566">
        <f>'Учебный план'!CD64</f>
        <v>0</v>
      </c>
      <c r="BA45" s="566">
        <f>'Учебный план'!CE64</f>
        <v>0</v>
      </c>
    </row>
    <row r="46" spans="1:53" s="229" customFormat="1" ht="26.1" customHeight="1" x14ac:dyDescent="0.2">
      <c r="A46" s="607" t="str">
        <f>'Учебный план'!A65</f>
        <v>ПМ.03</v>
      </c>
      <c r="B46" s="843" t="str">
        <f>'Учебный план'!B65:H65</f>
        <v xml:space="preserve">Организация работы структурного подразделения </v>
      </c>
      <c r="C46" s="843"/>
      <c r="D46" s="843"/>
      <c r="E46" s="843"/>
      <c r="F46" s="843"/>
      <c r="G46" s="843"/>
      <c r="H46" s="843"/>
      <c r="I46" s="607"/>
      <c r="J46" s="607"/>
      <c r="K46" s="609">
        <f>'Учебный план'!K65</f>
        <v>161</v>
      </c>
      <c r="L46" s="609">
        <f>'Учебный план'!L65</f>
        <v>107</v>
      </c>
      <c r="M46" s="609">
        <f>SUM(N46+S46)</f>
        <v>161</v>
      </c>
      <c r="N46" s="609">
        <f>SUM(O46:R46)</f>
        <v>28</v>
      </c>
      <c r="O46" s="609">
        <f>AA46+AG46+AM46+AT46</f>
        <v>28</v>
      </c>
      <c r="P46" s="609">
        <f>AB46+AH46+AN46+AU46</f>
        <v>0</v>
      </c>
      <c r="Q46" s="609">
        <f>AC46+AI46+AO46+AV46</f>
        <v>0</v>
      </c>
      <c r="R46" s="609">
        <f>AD46+AJ46+AP46+AW46</f>
        <v>0</v>
      </c>
      <c r="S46" s="609">
        <f>AE46+AK46+AQ46+AY46</f>
        <v>133</v>
      </c>
      <c r="T46" s="609">
        <f t="shared" ref="T46:Y46" si="54">SUM(T48:T50)</f>
        <v>0</v>
      </c>
      <c r="U46" s="609">
        <f t="shared" si="54"/>
        <v>0</v>
      </c>
      <c r="V46" s="609">
        <f t="shared" si="54"/>
        <v>0</v>
      </c>
      <c r="W46" s="609">
        <f t="shared" si="54"/>
        <v>0</v>
      </c>
      <c r="X46" s="609">
        <f t="shared" si="54"/>
        <v>0</v>
      </c>
      <c r="Y46" s="609">
        <f t="shared" si="54"/>
        <v>0</v>
      </c>
      <c r="Z46" s="609">
        <f t="shared" ref="Z46:AY46" si="55">SUM(Z48:Z50)</f>
        <v>0</v>
      </c>
      <c r="AA46" s="609">
        <f t="shared" si="55"/>
        <v>0</v>
      </c>
      <c r="AB46" s="609">
        <f t="shared" si="55"/>
        <v>0</v>
      </c>
      <c r="AC46" s="609">
        <f t="shared" si="55"/>
        <v>0</v>
      </c>
      <c r="AD46" s="609">
        <f t="shared" si="55"/>
        <v>0</v>
      </c>
      <c r="AE46" s="609">
        <f t="shared" si="55"/>
        <v>0</v>
      </c>
      <c r="AF46" s="609">
        <f t="shared" si="55"/>
        <v>54</v>
      </c>
      <c r="AG46" s="609">
        <f t="shared" si="55"/>
        <v>10</v>
      </c>
      <c r="AH46" s="609">
        <f t="shared" si="55"/>
        <v>0</v>
      </c>
      <c r="AI46" s="609">
        <f t="shared" si="55"/>
        <v>0</v>
      </c>
      <c r="AJ46" s="609">
        <f t="shared" si="55"/>
        <v>0</v>
      </c>
      <c r="AK46" s="609">
        <f t="shared" si="55"/>
        <v>44</v>
      </c>
      <c r="AL46" s="609">
        <f t="shared" si="55"/>
        <v>107</v>
      </c>
      <c r="AM46" s="609">
        <f t="shared" si="55"/>
        <v>18</v>
      </c>
      <c r="AN46" s="609">
        <f t="shared" si="55"/>
        <v>0</v>
      </c>
      <c r="AO46" s="609">
        <f t="shared" si="55"/>
        <v>0</v>
      </c>
      <c r="AP46" s="609">
        <f t="shared" si="55"/>
        <v>0</v>
      </c>
      <c r="AQ46" s="609">
        <f t="shared" si="55"/>
        <v>89</v>
      </c>
      <c r="AR46" s="609">
        <f t="shared" si="55"/>
        <v>0</v>
      </c>
      <c r="AS46" s="609">
        <f t="shared" si="55"/>
        <v>0</v>
      </c>
      <c r="AT46" s="609">
        <f t="shared" si="55"/>
        <v>0</v>
      </c>
      <c r="AU46" s="609">
        <f t="shared" si="55"/>
        <v>0</v>
      </c>
      <c r="AV46" s="609">
        <f t="shared" si="55"/>
        <v>0</v>
      </c>
      <c r="AW46" s="609">
        <f t="shared" si="55"/>
        <v>0</v>
      </c>
      <c r="AX46" s="609">
        <f t="shared" si="55"/>
        <v>0</v>
      </c>
      <c r="AY46" s="609">
        <f t="shared" si="55"/>
        <v>0</v>
      </c>
      <c r="AZ46" s="611">
        <f>'Учебный план'!CD65</f>
        <v>0</v>
      </c>
      <c r="BA46" s="611" t="str">
        <f>'Учебный план'!CE65</f>
        <v>ОК 1-10; ПК 3,1-3,3</v>
      </c>
    </row>
    <row r="47" spans="1:53" s="229" customFormat="1" ht="26.1" customHeight="1" x14ac:dyDescent="0.2">
      <c r="A47" s="606" t="str">
        <f>'Учебный план'!A66</f>
        <v>МДК.03.01</v>
      </c>
      <c r="B47" s="706" t="str">
        <f>'Учебный план'!B66:H66</f>
        <v>Основы управления структурным подразделением</v>
      </c>
      <c r="C47" s="706"/>
      <c r="D47" s="706"/>
      <c r="E47" s="706"/>
      <c r="F47" s="706"/>
      <c r="G47" s="706"/>
      <c r="H47" s="706"/>
      <c r="I47" s="606"/>
      <c r="J47" s="606"/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600"/>
      <c r="AG47" s="600"/>
      <c r="AH47" s="600"/>
      <c r="AI47" s="600"/>
      <c r="AJ47" s="600"/>
      <c r="AK47" s="600"/>
      <c r="AL47" s="600"/>
      <c r="AM47" s="600"/>
      <c r="AN47" s="600"/>
      <c r="AO47" s="600"/>
      <c r="AP47" s="600"/>
      <c r="AQ47" s="600"/>
      <c r="AR47" s="600"/>
      <c r="AS47" s="600"/>
      <c r="AT47" s="600"/>
      <c r="AU47" s="600"/>
      <c r="AV47" s="600"/>
      <c r="AW47" s="600"/>
      <c r="AX47" s="600"/>
      <c r="AY47" s="600"/>
      <c r="AZ47" s="602"/>
      <c r="BA47" s="602" t="str">
        <f>'Учебный план'!CE66</f>
        <v>ОК 1-10; ПК 3.1-3.3</v>
      </c>
    </row>
    <row r="48" spans="1:53" s="196" customFormat="1" ht="26.1" customHeight="1" x14ac:dyDescent="0.2">
      <c r="A48" s="560">
        <f>'Учебный план'!A67</f>
        <v>0</v>
      </c>
      <c r="B48" s="560" t="str">
        <f>'Учебный план'!B67</f>
        <v>Планирование и руководство работы структурного подразделения</v>
      </c>
      <c r="C48" s="134"/>
      <c r="D48" s="135"/>
      <c r="E48" s="135" t="s">
        <v>30</v>
      </c>
      <c r="F48" s="135"/>
      <c r="G48" s="135"/>
      <c r="H48" s="135"/>
      <c r="I48" s="139">
        <f t="shared" ref="I48:I49" si="56">K48-M48</f>
        <v>0</v>
      </c>
      <c r="J48" s="135">
        <f t="shared" ref="J48:J49" si="57">L48*$J$1</f>
        <v>10.8</v>
      </c>
      <c r="K48" s="555">
        <f>'Учебный план'!K67</f>
        <v>54</v>
      </c>
      <c r="L48" s="555">
        <f>'Учебный план'!L67</f>
        <v>36</v>
      </c>
      <c r="M48" s="138">
        <f>SUM(N48+S48)</f>
        <v>54</v>
      </c>
      <c r="N48" s="138">
        <f>SUM(O48:R48)</f>
        <v>10</v>
      </c>
      <c r="O48" s="138">
        <f t="shared" ref="O48:Q49" si="58">AA48+AG48+AM48+AT48+U48</f>
        <v>10</v>
      </c>
      <c r="P48" s="138">
        <f t="shared" si="58"/>
        <v>0</v>
      </c>
      <c r="Q48" s="138">
        <f t="shared" si="58"/>
        <v>0</v>
      </c>
      <c r="R48" s="138">
        <f>AD48+AJ48+AP48+AW48</f>
        <v>0</v>
      </c>
      <c r="S48" s="138">
        <f>AE48+AK48+AQ48+AY48+Y48</f>
        <v>44</v>
      </c>
      <c r="T48" s="253">
        <f>SUM(U48:Y48)</f>
        <v>0</v>
      </c>
      <c r="U48" s="139"/>
      <c r="V48" s="139"/>
      <c r="W48" s="139"/>
      <c r="X48" s="139"/>
      <c r="Y48" s="139"/>
      <c r="Z48" s="253">
        <f>SUM(AA48:AE48)</f>
        <v>0</v>
      </c>
      <c r="AA48" s="139"/>
      <c r="AB48" s="139"/>
      <c r="AC48" s="139"/>
      <c r="AD48" s="139"/>
      <c r="AE48" s="139"/>
      <c r="AF48" s="253">
        <f>SUM(AG48:AK48)</f>
        <v>54</v>
      </c>
      <c r="AG48" s="139">
        <v>10</v>
      </c>
      <c r="AH48" s="139"/>
      <c r="AI48" s="139"/>
      <c r="AJ48" s="139"/>
      <c r="AK48" s="139">
        <v>44</v>
      </c>
      <c r="AL48" s="253">
        <f>SUM(AM48:AQ48)</f>
        <v>0</v>
      </c>
      <c r="AM48" s="139"/>
      <c r="AN48" s="139"/>
      <c r="AO48" s="139"/>
      <c r="AP48" s="139"/>
      <c r="AQ48" s="139"/>
      <c r="AR48" s="253">
        <f t="shared" si="10"/>
        <v>0</v>
      </c>
      <c r="AS48" s="139"/>
      <c r="AT48" s="139"/>
      <c r="AU48" s="139"/>
      <c r="AV48" s="139"/>
      <c r="AW48" s="139"/>
      <c r="AX48" s="139"/>
      <c r="AY48" s="139"/>
      <c r="AZ48" s="556" t="str">
        <f>'Учебный план'!CD67</f>
        <v>64-8</v>
      </c>
      <c r="BA48" s="556" t="str">
        <f>'Учебный план'!CE67</f>
        <v>ОК 1-10; ПК 3.1-3.3</v>
      </c>
    </row>
    <row r="49" spans="1:53" s="196" customFormat="1" ht="26.1" customHeight="1" x14ac:dyDescent="0.2">
      <c r="A49" s="571">
        <f>'Учебный план'!A68</f>
        <v>0</v>
      </c>
      <c r="B49" s="560" t="str">
        <f>'Учебный план'!B68</f>
        <v>Анализ деятельности структурного подразделения</v>
      </c>
      <c r="C49" s="134"/>
      <c r="D49" s="135"/>
      <c r="E49" s="135" t="s">
        <v>39</v>
      </c>
      <c r="F49" s="135"/>
      <c r="G49" s="135" t="s">
        <v>39</v>
      </c>
      <c r="H49" s="135"/>
      <c r="I49" s="139">
        <f t="shared" si="56"/>
        <v>0</v>
      </c>
      <c r="J49" s="135">
        <f t="shared" si="57"/>
        <v>21.3</v>
      </c>
      <c r="K49" s="555">
        <f>'Учебный план'!K68</f>
        <v>107</v>
      </c>
      <c r="L49" s="555">
        <f>'Учебный план'!L68</f>
        <v>71</v>
      </c>
      <c r="M49" s="138">
        <f>SUM(N49+S49)</f>
        <v>107</v>
      </c>
      <c r="N49" s="138">
        <f>SUM(O49:R49)</f>
        <v>18</v>
      </c>
      <c r="O49" s="138">
        <f t="shared" si="58"/>
        <v>18</v>
      </c>
      <c r="P49" s="138">
        <f t="shared" si="58"/>
        <v>0</v>
      </c>
      <c r="Q49" s="138">
        <f t="shared" si="58"/>
        <v>0</v>
      </c>
      <c r="R49" s="138">
        <f>AD49+AJ49+AP49+AW49</f>
        <v>0</v>
      </c>
      <c r="S49" s="138">
        <f>AE49+AK49+AQ49+AY49+Y49</f>
        <v>89</v>
      </c>
      <c r="T49" s="253">
        <f>SUM(U49:Y49)</f>
        <v>0</v>
      </c>
      <c r="U49" s="139"/>
      <c r="V49" s="139"/>
      <c r="W49" s="139"/>
      <c r="X49" s="139"/>
      <c r="Y49" s="139"/>
      <c r="Z49" s="253">
        <f>SUM(AA49:AE49)</f>
        <v>0</v>
      </c>
      <c r="AA49" s="139"/>
      <c r="AB49" s="139"/>
      <c r="AC49" s="139"/>
      <c r="AD49" s="139"/>
      <c r="AE49" s="139"/>
      <c r="AF49" s="253">
        <f>SUM(AG49:AK49)</f>
        <v>0</v>
      </c>
      <c r="AG49" s="139"/>
      <c r="AH49" s="139"/>
      <c r="AI49" s="139"/>
      <c r="AJ49" s="139"/>
      <c r="AK49" s="139"/>
      <c r="AL49" s="253">
        <f>SUM(AM49:AQ49)</f>
        <v>107</v>
      </c>
      <c r="AM49" s="164">
        <v>18</v>
      </c>
      <c r="AN49" s="164"/>
      <c r="AO49" s="139"/>
      <c r="AP49" s="139"/>
      <c r="AQ49" s="139">
        <v>89</v>
      </c>
      <c r="AR49" s="253">
        <f t="shared" ref="AR49" si="59">SUM(AS49:AY49)</f>
        <v>0</v>
      </c>
      <c r="AS49" s="139"/>
      <c r="AT49" s="139"/>
      <c r="AU49" s="139"/>
      <c r="AV49" s="139"/>
      <c r="AW49" s="139"/>
      <c r="AX49" s="139"/>
      <c r="AY49" s="139"/>
      <c r="AZ49" s="556" t="str">
        <f>'Учебный план'!CD68</f>
        <v>64-8</v>
      </c>
      <c r="BA49" s="556" t="str">
        <f>'Учебный план'!CE68</f>
        <v>ОК 1-10; ПК 3.1-3.3</v>
      </c>
    </row>
    <row r="50" spans="1:53" s="196" customFormat="1" ht="26.1" customHeight="1" x14ac:dyDescent="0.2">
      <c r="A50" s="561" t="str">
        <f>'Учебный план'!A69</f>
        <v>Экзамен квалификационный</v>
      </c>
      <c r="B50" s="570"/>
      <c r="C50" s="570"/>
      <c r="D50" s="547" t="s">
        <v>39</v>
      </c>
      <c r="E50" s="433"/>
      <c r="F50" s="433"/>
      <c r="G50" s="433"/>
      <c r="H50" s="433"/>
      <c r="I50" s="433"/>
      <c r="J50" s="433"/>
      <c r="K50" s="564">
        <f>'Учебный план'!K69</f>
        <v>0</v>
      </c>
      <c r="L50" s="564">
        <f>'Учебный план'!L69</f>
        <v>0</v>
      </c>
      <c r="M50" s="564"/>
      <c r="N50" s="564"/>
      <c r="O50" s="564"/>
      <c r="P50" s="564"/>
      <c r="Q50" s="564"/>
      <c r="R50" s="564"/>
      <c r="S50" s="564"/>
      <c r="T50" s="564"/>
      <c r="U50" s="565"/>
      <c r="V50" s="565"/>
      <c r="W50" s="565"/>
      <c r="X50" s="565"/>
      <c r="Y50" s="565"/>
      <c r="Z50" s="564"/>
      <c r="AA50" s="565"/>
      <c r="AB50" s="565"/>
      <c r="AC50" s="565"/>
      <c r="AD50" s="565"/>
      <c r="AE50" s="565"/>
      <c r="AF50" s="564"/>
      <c r="AG50" s="565"/>
      <c r="AH50" s="565"/>
      <c r="AI50" s="565"/>
      <c r="AJ50" s="565"/>
      <c r="AK50" s="565"/>
      <c r="AL50" s="564"/>
      <c r="AM50" s="565"/>
      <c r="AN50" s="565"/>
      <c r="AO50" s="565"/>
      <c r="AP50" s="565"/>
      <c r="AQ50" s="565"/>
      <c r="AR50" s="564"/>
      <c r="AS50" s="565"/>
      <c r="AT50" s="565"/>
      <c r="AU50" s="565"/>
      <c r="AV50" s="565"/>
      <c r="AW50" s="565"/>
      <c r="AX50" s="565"/>
      <c r="AY50" s="565"/>
      <c r="AZ50" s="566">
        <f>'Учебный план'!CD69</f>
        <v>0</v>
      </c>
      <c r="BA50" s="566">
        <f>'Учебный план'!CE69</f>
        <v>0</v>
      </c>
    </row>
    <row r="51" spans="1:53" s="196" customFormat="1" ht="26.1" customHeight="1" x14ac:dyDescent="0.2">
      <c r="A51" s="607" t="str">
        <f>'Учебный план'!A70</f>
        <v>ПМ.04</v>
      </c>
      <c r="B51" s="843" t="str">
        <f>'Учебный план'!B70:H70</f>
        <v>Выполнение работ по одной или нескольким профессиям рабочих, должностям служащих</v>
      </c>
      <c r="C51" s="843"/>
      <c r="D51" s="843"/>
      <c r="E51" s="843"/>
      <c r="F51" s="843"/>
      <c r="G51" s="843"/>
      <c r="H51" s="843"/>
      <c r="I51" s="607"/>
      <c r="J51" s="613"/>
      <c r="K51" s="609">
        <f>'Учебный план'!K70</f>
        <v>105</v>
      </c>
      <c r="L51" s="609">
        <f>'Учебный план'!L70</f>
        <v>70</v>
      </c>
      <c r="M51" s="609">
        <f>SUM(N51+S51)</f>
        <v>105</v>
      </c>
      <c r="N51" s="609">
        <f>SUM(O51:R51)</f>
        <v>20</v>
      </c>
      <c r="O51" s="609">
        <f>AA51+AG51+AM51+AT51</f>
        <v>14</v>
      </c>
      <c r="P51" s="609">
        <f>AB51+AH51+AN51+AU51</f>
        <v>6</v>
      </c>
      <c r="Q51" s="609">
        <f>AC51+AI51+AO51+AV51</f>
        <v>0</v>
      </c>
      <c r="R51" s="609">
        <f>AD51+AJ51+AP51+AW51</f>
        <v>0</v>
      </c>
      <c r="S51" s="609">
        <f>AE51+AK51+AQ51+AY51</f>
        <v>85</v>
      </c>
      <c r="T51" s="610">
        <f t="shared" ref="T51:AY51" si="60">SUM(T52:T52)</f>
        <v>0</v>
      </c>
      <c r="U51" s="610">
        <f t="shared" si="60"/>
        <v>0</v>
      </c>
      <c r="V51" s="610">
        <f t="shared" si="60"/>
        <v>0</v>
      </c>
      <c r="W51" s="610">
        <f t="shared" si="60"/>
        <v>0</v>
      </c>
      <c r="X51" s="610">
        <f t="shared" si="60"/>
        <v>0</v>
      </c>
      <c r="Y51" s="610">
        <f t="shared" si="60"/>
        <v>0</v>
      </c>
      <c r="Z51" s="610">
        <f t="shared" si="60"/>
        <v>105</v>
      </c>
      <c r="AA51" s="610">
        <f t="shared" si="60"/>
        <v>14</v>
      </c>
      <c r="AB51" s="610">
        <f t="shared" si="60"/>
        <v>6</v>
      </c>
      <c r="AC51" s="610">
        <f t="shared" si="60"/>
        <v>0</v>
      </c>
      <c r="AD51" s="610">
        <f t="shared" si="60"/>
        <v>0</v>
      </c>
      <c r="AE51" s="610">
        <f t="shared" si="60"/>
        <v>85</v>
      </c>
      <c r="AF51" s="610">
        <f t="shared" si="60"/>
        <v>0</v>
      </c>
      <c r="AG51" s="610">
        <f t="shared" si="60"/>
        <v>0</v>
      </c>
      <c r="AH51" s="610">
        <f t="shared" si="60"/>
        <v>0</v>
      </c>
      <c r="AI51" s="610">
        <f t="shared" si="60"/>
        <v>0</v>
      </c>
      <c r="AJ51" s="610">
        <f t="shared" si="60"/>
        <v>0</v>
      </c>
      <c r="AK51" s="610">
        <f t="shared" si="60"/>
        <v>0</v>
      </c>
      <c r="AL51" s="610">
        <f t="shared" si="60"/>
        <v>0</v>
      </c>
      <c r="AM51" s="610">
        <f t="shared" si="60"/>
        <v>0</v>
      </c>
      <c r="AN51" s="610">
        <f t="shared" si="60"/>
        <v>0</v>
      </c>
      <c r="AO51" s="610">
        <f t="shared" si="60"/>
        <v>0</v>
      </c>
      <c r="AP51" s="610">
        <f t="shared" si="60"/>
        <v>0</v>
      </c>
      <c r="AQ51" s="610">
        <f t="shared" si="60"/>
        <v>0</v>
      </c>
      <c r="AR51" s="610">
        <f t="shared" si="60"/>
        <v>0</v>
      </c>
      <c r="AS51" s="610">
        <f t="shared" si="60"/>
        <v>0</v>
      </c>
      <c r="AT51" s="610">
        <f t="shared" si="60"/>
        <v>0</v>
      </c>
      <c r="AU51" s="610">
        <f t="shared" si="60"/>
        <v>0</v>
      </c>
      <c r="AV51" s="610">
        <f t="shared" si="60"/>
        <v>0</v>
      </c>
      <c r="AW51" s="610">
        <f t="shared" si="60"/>
        <v>0</v>
      </c>
      <c r="AX51" s="610">
        <f t="shared" si="60"/>
        <v>0</v>
      </c>
      <c r="AY51" s="610">
        <f t="shared" si="60"/>
        <v>0</v>
      </c>
      <c r="AZ51" s="611">
        <f>'Учебный план'!CD70</f>
        <v>0</v>
      </c>
      <c r="BA51" s="611">
        <f>'Учебный план'!CE70</f>
        <v>0</v>
      </c>
    </row>
    <row r="52" spans="1:53" s="196" customFormat="1" ht="26.1" customHeight="1" x14ac:dyDescent="0.2">
      <c r="A52" s="560">
        <f>'Учебный план'!A71</f>
        <v>0</v>
      </c>
      <c r="B52" s="560" t="str">
        <f>'Учебный план'!B71</f>
        <v>Моторист (машинист)</v>
      </c>
      <c r="C52" s="134"/>
      <c r="D52" s="135"/>
      <c r="E52" s="135" t="s">
        <v>31</v>
      </c>
      <c r="F52" s="135"/>
      <c r="G52" s="135"/>
      <c r="H52" s="135"/>
      <c r="I52" s="139">
        <f t="shared" ref="I52" si="61">K52-M52</f>
        <v>0</v>
      </c>
      <c r="J52" s="135">
        <f t="shared" ref="J52" si="62">L52*$J$1</f>
        <v>21</v>
      </c>
      <c r="K52" s="555">
        <f>'Учебный план'!K71</f>
        <v>105</v>
      </c>
      <c r="L52" s="555">
        <f>'Учебный план'!L71</f>
        <v>70</v>
      </c>
      <c r="M52" s="138">
        <f>SUM(N52+S52)</f>
        <v>105</v>
      </c>
      <c r="N52" s="138">
        <f>SUM(O52:R52)</f>
        <v>20</v>
      </c>
      <c r="O52" s="138">
        <f>AA52+AG52+AM52+AT52+U52</f>
        <v>14</v>
      </c>
      <c r="P52" s="138">
        <f>AB52+AH52+AN52+AU52+V52</f>
        <v>6</v>
      </c>
      <c r="Q52" s="138">
        <f>AC52+AI52+AO52+AV52+W52</f>
        <v>0</v>
      </c>
      <c r="R52" s="138">
        <f>AD52+AJ52+AP52+AW52</f>
        <v>0</v>
      </c>
      <c r="S52" s="138">
        <f>AE52+AK52+AQ52+AY52+Y52</f>
        <v>85</v>
      </c>
      <c r="T52" s="253">
        <f>SUM(U52:Y52)</f>
        <v>0</v>
      </c>
      <c r="U52" s="139"/>
      <c r="V52" s="139"/>
      <c r="W52" s="139"/>
      <c r="X52" s="139"/>
      <c r="Y52" s="139"/>
      <c r="Z52" s="253">
        <f>SUM(AA52:AE52)</f>
        <v>105</v>
      </c>
      <c r="AA52" s="139">
        <v>14</v>
      </c>
      <c r="AB52" s="139">
        <v>6</v>
      </c>
      <c r="AC52" s="139"/>
      <c r="AD52" s="139"/>
      <c r="AE52" s="139">
        <v>85</v>
      </c>
      <c r="AF52" s="253">
        <f>SUM(AG52:AK52)</f>
        <v>0</v>
      </c>
      <c r="AG52" s="139"/>
      <c r="AH52" s="139"/>
      <c r="AI52" s="139"/>
      <c r="AJ52" s="139"/>
      <c r="AK52" s="139"/>
      <c r="AL52" s="253">
        <f>SUM(AM52:AQ52)</f>
        <v>0</v>
      </c>
      <c r="AM52" s="139"/>
      <c r="AN52" s="139"/>
      <c r="AO52" s="139"/>
      <c r="AP52" s="139"/>
      <c r="AQ52" s="139"/>
      <c r="AR52" s="253">
        <f t="shared" si="10"/>
        <v>0</v>
      </c>
      <c r="AS52" s="139"/>
      <c r="AT52" s="139"/>
      <c r="AU52" s="139"/>
      <c r="AV52" s="139"/>
      <c r="AW52" s="139"/>
      <c r="AX52" s="139"/>
      <c r="AY52" s="139"/>
      <c r="AZ52" s="556" t="str">
        <f>'Учебный план'!CD71</f>
        <v>64-5</v>
      </c>
      <c r="BA52" s="556" t="str">
        <f>'Учебный план'!CE71</f>
        <v>ОК 1-10; ПК 1.1-1.5</v>
      </c>
    </row>
    <row r="53" spans="1:53" s="196" customFormat="1" ht="26.1" customHeight="1" x14ac:dyDescent="0.2">
      <c r="A53" s="561" t="str">
        <f>'Учебный план'!A73</f>
        <v>Экзамен квалификационный</v>
      </c>
      <c r="B53" s="570"/>
      <c r="C53" s="570"/>
      <c r="D53" s="433" t="s">
        <v>30</v>
      </c>
      <c r="E53" s="433"/>
      <c r="F53" s="433"/>
      <c r="G53" s="433"/>
      <c r="H53" s="433"/>
      <c r="I53" s="433"/>
      <c r="J53" s="433"/>
      <c r="K53" s="564">
        <f>'Учебный план'!K73</f>
        <v>0</v>
      </c>
      <c r="L53" s="564">
        <f>'Учебный план'!L73</f>
        <v>0</v>
      </c>
      <c r="M53" s="564"/>
      <c r="N53" s="564"/>
      <c r="O53" s="564"/>
      <c r="P53" s="564"/>
      <c r="Q53" s="564"/>
      <c r="R53" s="564"/>
      <c r="S53" s="564"/>
      <c r="T53" s="564"/>
      <c r="U53" s="565"/>
      <c r="V53" s="565"/>
      <c r="W53" s="565"/>
      <c r="X53" s="565"/>
      <c r="Y53" s="565"/>
      <c r="Z53" s="564"/>
      <c r="AA53" s="565"/>
      <c r="AB53" s="565"/>
      <c r="AC53" s="565"/>
      <c r="AD53" s="565"/>
      <c r="AE53" s="565"/>
      <c r="AF53" s="564"/>
      <c r="AG53" s="565"/>
      <c r="AH53" s="565"/>
      <c r="AI53" s="565"/>
      <c r="AJ53" s="565"/>
      <c r="AK53" s="565"/>
      <c r="AL53" s="564"/>
      <c r="AM53" s="565"/>
      <c r="AN53" s="565"/>
      <c r="AO53" s="565"/>
      <c r="AP53" s="565"/>
      <c r="AQ53" s="565"/>
      <c r="AR53" s="564"/>
      <c r="AS53" s="565"/>
      <c r="AT53" s="565"/>
      <c r="AU53" s="565"/>
      <c r="AV53" s="565"/>
      <c r="AW53" s="565"/>
      <c r="AX53" s="565"/>
      <c r="AY53" s="565"/>
      <c r="AZ53" s="566">
        <f>'Учебный план'!CD73</f>
        <v>0</v>
      </c>
      <c r="BA53" s="566">
        <f>'Учебный план'!CE73</f>
        <v>0</v>
      </c>
    </row>
    <row r="54" spans="1:53" s="319" customFormat="1" ht="26.1" customHeight="1" x14ac:dyDescent="0.2">
      <c r="A54" s="583" t="s">
        <v>588</v>
      </c>
      <c r="B54" s="835" t="str">
        <f>'Учебный план'!B74</f>
        <v>Вариативная часть циклов ППССЗ</v>
      </c>
      <c r="C54" s="836"/>
      <c r="D54" s="836"/>
      <c r="E54" s="836"/>
      <c r="F54" s="836"/>
      <c r="G54" s="836"/>
      <c r="H54" s="837"/>
      <c r="I54" s="573"/>
      <c r="J54" s="573"/>
      <c r="K54" s="567">
        <f>'Учебный план'!K74</f>
        <v>354</v>
      </c>
      <c r="L54" s="567">
        <f>'Учебный план'!L74</f>
        <v>233</v>
      </c>
      <c r="M54" s="567">
        <f t="shared" ref="M54:M59" si="63">SUM(N54+S54)</f>
        <v>304</v>
      </c>
      <c r="N54" s="567">
        <f t="shared" ref="N54:N59" si="64">SUM(O54:R54)</f>
        <v>46</v>
      </c>
      <c r="O54" s="567">
        <f>AA54+AG54+AM54+AT54</f>
        <v>26</v>
      </c>
      <c r="P54" s="567">
        <f>AB54+AH54+AN54+AU54</f>
        <v>20</v>
      </c>
      <c r="Q54" s="567">
        <f>AC54+AI54+AO54+AV54</f>
        <v>0</v>
      </c>
      <c r="R54" s="567">
        <f>AD54+AJ54+AP54+AW54</f>
        <v>0</v>
      </c>
      <c r="S54" s="567">
        <f>AE54+AK54+AQ54+AY54</f>
        <v>258</v>
      </c>
      <c r="T54" s="567">
        <f t="shared" ref="T54:Y54" si="65">SUM(T55:T59)</f>
        <v>50</v>
      </c>
      <c r="U54" s="567">
        <f t="shared" si="65"/>
        <v>8</v>
      </c>
      <c r="V54" s="567">
        <f t="shared" si="65"/>
        <v>0</v>
      </c>
      <c r="W54" s="567">
        <f t="shared" si="65"/>
        <v>0</v>
      </c>
      <c r="X54" s="567">
        <f t="shared" si="65"/>
        <v>0</v>
      </c>
      <c r="Y54" s="567">
        <f t="shared" si="65"/>
        <v>42</v>
      </c>
      <c r="Z54" s="567">
        <f t="shared" ref="Z54:AY54" si="66">SUM(Z55:Z59)</f>
        <v>0</v>
      </c>
      <c r="AA54" s="567">
        <f t="shared" si="66"/>
        <v>0</v>
      </c>
      <c r="AB54" s="567">
        <f t="shared" si="66"/>
        <v>0</v>
      </c>
      <c r="AC54" s="567">
        <f t="shared" si="66"/>
        <v>0</v>
      </c>
      <c r="AD54" s="567">
        <f t="shared" si="66"/>
        <v>0</v>
      </c>
      <c r="AE54" s="567">
        <f t="shared" si="66"/>
        <v>0</v>
      </c>
      <c r="AF54" s="567">
        <f t="shared" si="66"/>
        <v>247</v>
      </c>
      <c r="AG54" s="567">
        <f t="shared" si="66"/>
        <v>26</v>
      </c>
      <c r="AH54" s="567">
        <f t="shared" si="66"/>
        <v>10</v>
      </c>
      <c r="AI54" s="567">
        <f t="shared" si="66"/>
        <v>0</v>
      </c>
      <c r="AJ54" s="567">
        <f t="shared" si="66"/>
        <v>0</v>
      </c>
      <c r="AK54" s="567">
        <f t="shared" si="66"/>
        <v>211</v>
      </c>
      <c r="AL54" s="567">
        <f t="shared" si="66"/>
        <v>57</v>
      </c>
      <c r="AM54" s="567">
        <f t="shared" si="66"/>
        <v>0</v>
      </c>
      <c r="AN54" s="567">
        <f t="shared" si="66"/>
        <v>10</v>
      </c>
      <c r="AO54" s="567">
        <f t="shared" si="66"/>
        <v>0</v>
      </c>
      <c r="AP54" s="567">
        <f t="shared" si="66"/>
        <v>0</v>
      </c>
      <c r="AQ54" s="567">
        <f t="shared" si="66"/>
        <v>47</v>
      </c>
      <c r="AR54" s="567">
        <f t="shared" si="66"/>
        <v>0</v>
      </c>
      <c r="AS54" s="567">
        <f t="shared" si="66"/>
        <v>0</v>
      </c>
      <c r="AT54" s="567">
        <f t="shared" si="66"/>
        <v>0</v>
      </c>
      <c r="AU54" s="567">
        <f t="shared" si="66"/>
        <v>0</v>
      </c>
      <c r="AV54" s="567">
        <f t="shared" si="66"/>
        <v>0</v>
      </c>
      <c r="AW54" s="567">
        <f t="shared" si="66"/>
        <v>0</v>
      </c>
      <c r="AX54" s="567">
        <f t="shared" si="66"/>
        <v>0</v>
      </c>
      <c r="AY54" s="567">
        <f t="shared" si="66"/>
        <v>0</v>
      </c>
      <c r="AZ54" s="568">
        <f>'Учебный план'!CD74</f>
        <v>0</v>
      </c>
      <c r="BA54" s="568">
        <f>'Учебный план'!CE74</f>
        <v>0</v>
      </c>
    </row>
    <row r="55" spans="1:53" s="229" customFormat="1" ht="26.1" customHeight="1" x14ac:dyDescent="0.2">
      <c r="A55" s="560" t="str">
        <f>'Учебный план'!A75</f>
        <v>ВЧ.01</v>
      </c>
      <c r="B55" s="560" t="str">
        <f>'Учебный план'!B75</f>
        <v>Деловой английский язык</v>
      </c>
      <c r="C55" s="134"/>
      <c r="D55" s="135"/>
      <c r="E55" s="135" t="s">
        <v>30</v>
      </c>
      <c r="F55" s="135"/>
      <c r="G55" s="135"/>
      <c r="H55" s="574"/>
      <c r="I55" s="139">
        <f t="shared" ref="I55:I59" si="67">K55-M55</f>
        <v>0</v>
      </c>
      <c r="J55" s="135">
        <f t="shared" ref="J55:J59" si="68">L55*$J$1</f>
        <v>11.4</v>
      </c>
      <c r="K55" s="555">
        <f>'Учебный план'!K75</f>
        <v>57</v>
      </c>
      <c r="L55" s="555">
        <f>'Учебный план'!L75</f>
        <v>38</v>
      </c>
      <c r="M55" s="138">
        <f t="shared" si="63"/>
        <v>57</v>
      </c>
      <c r="N55" s="138">
        <f t="shared" si="64"/>
        <v>10</v>
      </c>
      <c r="O55" s="138">
        <f t="shared" ref="O55:Q59" si="69">AA55+AG55+AM55+AT55+U55</f>
        <v>0</v>
      </c>
      <c r="P55" s="138">
        <f t="shared" si="69"/>
        <v>10</v>
      </c>
      <c r="Q55" s="138">
        <f t="shared" si="69"/>
        <v>0</v>
      </c>
      <c r="R55" s="138">
        <f>AD55+AJ55+AP55+AW55</f>
        <v>0</v>
      </c>
      <c r="S55" s="138">
        <f>AE55+AK55+AQ55+AY55+Y55</f>
        <v>47</v>
      </c>
      <c r="T55" s="253">
        <f>SUM(U55:Y55)</f>
        <v>0</v>
      </c>
      <c r="U55" s="139"/>
      <c r="V55" s="139"/>
      <c r="W55" s="139"/>
      <c r="X55" s="139"/>
      <c r="Y55" s="139"/>
      <c r="Z55" s="253">
        <f>SUM(AA55:AE55)</f>
        <v>0</v>
      </c>
      <c r="AA55" s="139"/>
      <c r="AB55" s="139"/>
      <c r="AC55" s="139"/>
      <c r="AD55" s="139"/>
      <c r="AE55" s="139"/>
      <c r="AF55" s="253">
        <f>SUM(AG55:AK55)</f>
        <v>57</v>
      </c>
      <c r="AG55" s="139"/>
      <c r="AH55" s="139">
        <v>10</v>
      </c>
      <c r="AI55" s="139"/>
      <c r="AJ55" s="139"/>
      <c r="AK55" s="139">
        <v>47</v>
      </c>
      <c r="AL55" s="253">
        <f>SUM(AM55:AQ55)</f>
        <v>0</v>
      </c>
      <c r="AM55" s="139"/>
      <c r="AN55" s="139"/>
      <c r="AO55" s="139"/>
      <c r="AP55" s="139"/>
      <c r="AQ55" s="139"/>
      <c r="AR55" s="253">
        <f t="shared" si="10"/>
        <v>0</v>
      </c>
      <c r="AS55" s="139"/>
      <c r="AT55" s="139"/>
      <c r="AU55" s="139"/>
      <c r="AV55" s="139"/>
      <c r="AW55" s="139"/>
      <c r="AX55" s="139"/>
      <c r="AY55" s="139"/>
      <c r="AZ55" s="556" t="str">
        <f>'Учебный план'!CD75</f>
        <v>64-1</v>
      </c>
      <c r="BA55" s="556" t="str">
        <f>'Учебный план'!CE75</f>
        <v>ОК 4,10</v>
      </c>
    </row>
    <row r="56" spans="1:53" s="229" customFormat="1" ht="26.1" customHeight="1" x14ac:dyDescent="0.2">
      <c r="A56" s="560" t="str">
        <f>'Учебный план'!A76</f>
        <v>ВЧ.02</v>
      </c>
      <c r="B56" s="560" t="str">
        <f>'Учебный план'!B76</f>
        <v>Компьютерная графика</v>
      </c>
      <c r="C56" s="134"/>
      <c r="D56" s="135"/>
      <c r="E56" s="135" t="s">
        <v>39</v>
      </c>
      <c r="F56" s="135"/>
      <c r="G56" s="135"/>
      <c r="H56" s="574"/>
      <c r="I56" s="139">
        <f t="shared" si="67"/>
        <v>0</v>
      </c>
      <c r="J56" s="135">
        <f t="shared" si="68"/>
        <v>11.4</v>
      </c>
      <c r="K56" s="555">
        <f>'Учебный план'!K76</f>
        <v>57</v>
      </c>
      <c r="L56" s="555">
        <f>'Учебный план'!L76</f>
        <v>38</v>
      </c>
      <c r="M56" s="138">
        <f t="shared" si="63"/>
        <v>57</v>
      </c>
      <c r="N56" s="138">
        <f t="shared" si="64"/>
        <v>10</v>
      </c>
      <c r="O56" s="138">
        <f t="shared" si="69"/>
        <v>0</v>
      </c>
      <c r="P56" s="138">
        <f t="shared" si="69"/>
        <v>10</v>
      </c>
      <c r="Q56" s="138">
        <f t="shared" si="69"/>
        <v>0</v>
      </c>
      <c r="R56" s="138">
        <f>AD56+AJ56+AP56+AW56</f>
        <v>0</v>
      </c>
      <c r="S56" s="138">
        <f>AE56+AK56+AQ56+AY56+Y56</f>
        <v>47</v>
      </c>
      <c r="T56" s="253"/>
      <c r="U56" s="139"/>
      <c r="V56" s="139"/>
      <c r="W56" s="139"/>
      <c r="X56" s="139"/>
      <c r="Y56" s="139"/>
      <c r="Z56" s="253">
        <f>SUM(AA56:AE56)</f>
        <v>0</v>
      </c>
      <c r="AA56" s="139"/>
      <c r="AB56" s="139"/>
      <c r="AC56" s="139"/>
      <c r="AD56" s="139"/>
      <c r="AE56" s="139"/>
      <c r="AF56" s="253">
        <f>SUM(AG56:AK56)</f>
        <v>0</v>
      </c>
      <c r="AG56" s="139"/>
      <c r="AH56" s="139"/>
      <c r="AI56" s="139"/>
      <c r="AJ56" s="139"/>
      <c r="AK56" s="139"/>
      <c r="AL56" s="253">
        <f>SUM(AM56:AQ56)</f>
        <v>57</v>
      </c>
      <c r="AM56" s="139"/>
      <c r="AN56" s="139">
        <v>10</v>
      </c>
      <c r="AO56" s="139"/>
      <c r="AP56" s="139"/>
      <c r="AQ56" s="139">
        <v>47</v>
      </c>
      <c r="AR56" s="253">
        <f t="shared" si="10"/>
        <v>0</v>
      </c>
      <c r="AS56" s="139"/>
      <c r="AT56" s="139"/>
      <c r="AU56" s="139"/>
      <c r="AV56" s="139"/>
      <c r="AW56" s="139"/>
      <c r="AX56" s="139"/>
      <c r="AY56" s="139"/>
      <c r="AZ56" s="556" t="str">
        <f>'Учебный план'!CD76</f>
        <v>31</v>
      </c>
      <c r="BA56" s="556" t="str">
        <f>'Учебный план'!CE76</f>
        <v>ОК 1-10; ПК 1.1, 1.3-1.5, 2.1-2.3, 3.1-3.3</v>
      </c>
    </row>
    <row r="57" spans="1:53" s="229" customFormat="1" ht="26.1" customHeight="1" x14ac:dyDescent="0.2">
      <c r="A57" s="560" t="str">
        <f>'Учебный план'!A77</f>
        <v>ВЧ.03</v>
      </c>
      <c r="B57" s="560" t="str">
        <f>'Учебный план'!B77</f>
        <v>Охрана труда</v>
      </c>
      <c r="C57" s="134"/>
      <c r="D57" s="135"/>
      <c r="E57" s="135" t="s">
        <v>30</v>
      </c>
      <c r="F57" s="135"/>
      <c r="G57" s="135"/>
      <c r="H57" s="574"/>
      <c r="I57" s="139">
        <f t="shared" ref="I57:I58" si="70">K57-M57</f>
        <v>0</v>
      </c>
      <c r="J57" s="135">
        <f t="shared" ref="J57:J58" si="71">L57*$J$1</f>
        <v>10.8</v>
      </c>
      <c r="K57" s="555">
        <f>'Учебный план'!K77</f>
        <v>54</v>
      </c>
      <c r="L57" s="555">
        <f>'Учебный план'!L77</f>
        <v>36</v>
      </c>
      <c r="M57" s="138">
        <f t="shared" si="63"/>
        <v>54</v>
      </c>
      <c r="N57" s="138">
        <f t="shared" si="64"/>
        <v>10</v>
      </c>
      <c r="O57" s="138">
        <f t="shared" si="69"/>
        <v>10</v>
      </c>
      <c r="P57" s="138">
        <f t="shared" si="69"/>
        <v>0</v>
      </c>
      <c r="Q57" s="138">
        <f t="shared" si="69"/>
        <v>0</v>
      </c>
      <c r="R57" s="138">
        <f>AD57+AJ57+AP57+AW57</f>
        <v>0</v>
      </c>
      <c r="S57" s="138">
        <f>AE57+AK57+AQ57+AY57+Y57</f>
        <v>44</v>
      </c>
      <c r="T57" s="253"/>
      <c r="U57" s="139"/>
      <c r="V57" s="139"/>
      <c r="W57" s="139"/>
      <c r="X57" s="139"/>
      <c r="Y57" s="139"/>
      <c r="Z57" s="253">
        <f>SUM(AA57:AE57)</f>
        <v>0</v>
      </c>
      <c r="AA57" s="139"/>
      <c r="AB57" s="139"/>
      <c r="AC57" s="139"/>
      <c r="AD57" s="139"/>
      <c r="AE57" s="139"/>
      <c r="AF57" s="253">
        <f>SUM(AG57:AK57)</f>
        <v>54</v>
      </c>
      <c r="AG57" s="139">
        <v>10</v>
      </c>
      <c r="AH57" s="139"/>
      <c r="AI57" s="139"/>
      <c r="AJ57" s="139"/>
      <c r="AK57" s="139">
        <v>44</v>
      </c>
      <c r="AL57" s="253">
        <f>SUM(AM57:AQ57)</f>
        <v>0</v>
      </c>
      <c r="AM57" s="139"/>
      <c r="AN57" s="139"/>
      <c r="AO57" s="139"/>
      <c r="AP57" s="139"/>
      <c r="AQ57" s="139"/>
      <c r="AR57" s="253">
        <f t="shared" si="10"/>
        <v>0</v>
      </c>
      <c r="AS57" s="139"/>
      <c r="AT57" s="139"/>
      <c r="AU57" s="139"/>
      <c r="AV57" s="139"/>
      <c r="AW57" s="139"/>
      <c r="AX57" s="139"/>
      <c r="AY57" s="139"/>
      <c r="AZ57" s="556"/>
      <c r="BA57" s="556"/>
    </row>
    <row r="58" spans="1:53" s="229" customFormat="1" ht="26.1" customHeight="1" x14ac:dyDescent="0.2">
      <c r="A58" s="560" t="str">
        <f>'Учебный план'!A78</f>
        <v>ВЧ.04</v>
      </c>
      <c r="B58" s="560" t="str">
        <f>'Учебный план'!B78</f>
        <v>Эксплуатация судна на вспомогательном уровне</v>
      </c>
      <c r="C58" s="134"/>
      <c r="D58" s="135"/>
      <c r="E58" s="135" t="s">
        <v>30</v>
      </c>
      <c r="F58" s="135"/>
      <c r="G58" s="135"/>
      <c r="H58" s="574"/>
      <c r="I58" s="139">
        <f t="shared" si="70"/>
        <v>0</v>
      </c>
      <c r="J58" s="135">
        <f t="shared" si="71"/>
        <v>26.7</v>
      </c>
      <c r="K58" s="555">
        <f>'Учебный план'!K78</f>
        <v>136</v>
      </c>
      <c r="L58" s="555">
        <f>'Учебный план'!L78</f>
        <v>89</v>
      </c>
      <c r="M58" s="138">
        <f t="shared" si="63"/>
        <v>136</v>
      </c>
      <c r="N58" s="138">
        <f t="shared" si="64"/>
        <v>16</v>
      </c>
      <c r="O58" s="138">
        <f t="shared" si="69"/>
        <v>16</v>
      </c>
      <c r="P58" s="138">
        <f t="shared" si="69"/>
        <v>0</v>
      </c>
      <c r="Q58" s="138">
        <f t="shared" si="69"/>
        <v>0</v>
      </c>
      <c r="R58" s="138">
        <f>AD58+AJ58+AP58+AW58</f>
        <v>0</v>
      </c>
      <c r="S58" s="138">
        <f>AE58+AK58+AQ58+AY58+Y58</f>
        <v>120</v>
      </c>
      <c r="T58" s="253"/>
      <c r="U58" s="139"/>
      <c r="V58" s="139"/>
      <c r="W58" s="139"/>
      <c r="X58" s="139"/>
      <c r="Y58" s="139"/>
      <c r="Z58" s="253">
        <f>SUM(AA58:AE58)</f>
        <v>0</v>
      </c>
      <c r="AA58" s="139"/>
      <c r="AB58" s="139"/>
      <c r="AC58" s="139"/>
      <c r="AD58" s="139"/>
      <c r="AE58" s="139"/>
      <c r="AF58" s="253">
        <f>SUM(AG58:AK58)</f>
        <v>136</v>
      </c>
      <c r="AG58" s="139">
        <v>16</v>
      </c>
      <c r="AH58" s="139"/>
      <c r="AI58" s="139"/>
      <c r="AJ58" s="139"/>
      <c r="AK58" s="139">
        <v>120</v>
      </c>
      <c r="AL58" s="253">
        <f>SUM(AM58:AQ58)</f>
        <v>0</v>
      </c>
      <c r="AM58" s="139"/>
      <c r="AN58" s="139"/>
      <c r="AO58" s="139"/>
      <c r="AP58" s="139"/>
      <c r="AQ58" s="139"/>
      <c r="AR58" s="253">
        <f t="shared" si="10"/>
        <v>0</v>
      </c>
      <c r="AS58" s="139"/>
      <c r="AT58" s="139"/>
      <c r="AU58" s="139"/>
      <c r="AV58" s="139"/>
      <c r="AW58" s="139"/>
      <c r="AX58" s="139"/>
      <c r="AY58" s="139"/>
      <c r="AZ58" s="556"/>
      <c r="BA58" s="556"/>
    </row>
    <row r="59" spans="1:53" s="229" customFormat="1" ht="26.1" customHeight="1" x14ac:dyDescent="0.2">
      <c r="A59" s="560" t="str">
        <f>'Учебный план'!A79</f>
        <v>ВЧ.05</v>
      </c>
      <c r="B59" s="560" t="str">
        <f>'Учебный план'!B79</f>
        <v>Гидравлика</v>
      </c>
      <c r="C59" s="134"/>
      <c r="D59" s="135"/>
      <c r="E59" s="135" t="s">
        <v>27</v>
      </c>
      <c r="F59" s="135"/>
      <c r="G59" s="135"/>
      <c r="H59" s="135"/>
      <c r="I59" s="139">
        <f t="shared" si="67"/>
        <v>0</v>
      </c>
      <c r="J59" s="135">
        <f t="shared" si="68"/>
        <v>9.6</v>
      </c>
      <c r="K59" s="555">
        <f>'Учебный план'!K79</f>
        <v>50</v>
      </c>
      <c r="L59" s="555">
        <f>'Учебный план'!L79</f>
        <v>32</v>
      </c>
      <c r="M59" s="138">
        <f t="shared" si="63"/>
        <v>50</v>
      </c>
      <c r="N59" s="138">
        <f t="shared" si="64"/>
        <v>8</v>
      </c>
      <c r="O59" s="138">
        <f t="shared" si="69"/>
        <v>8</v>
      </c>
      <c r="P59" s="138">
        <f t="shared" si="69"/>
        <v>0</v>
      </c>
      <c r="Q59" s="138">
        <f t="shared" si="69"/>
        <v>0</v>
      </c>
      <c r="R59" s="138">
        <f>AD59+AJ59+AP59+AW59</f>
        <v>0</v>
      </c>
      <c r="S59" s="138">
        <f>AE59+AK59+AQ59+AY59+Y59</f>
        <v>42</v>
      </c>
      <c r="T59" s="253">
        <f>SUM(U59:Y59)</f>
        <v>50</v>
      </c>
      <c r="U59" s="139">
        <v>8</v>
      </c>
      <c r="V59" s="139"/>
      <c r="W59" s="139"/>
      <c r="X59" s="139"/>
      <c r="Y59" s="139">
        <v>42</v>
      </c>
      <c r="Z59" s="253">
        <f>SUM(AA59:AE59)</f>
        <v>0</v>
      </c>
      <c r="AA59" s="139"/>
      <c r="AB59" s="139"/>
      <c r="AC59" s="139"/>
      <c r="AD59" s="139"/>
      <c r="AE59" s="139"/>
      <c r="AF59" s="253">
        <f>SUM(AG59:AK59)</f>
        <v>0</v>
      </c>
      <c r="AG59" s="139"/>
      <c r="AH59" s="139"/>
      <c r="AI59" s="139"/>
      <c r="AJ59" s="139"/>
      <c r="AK59" s="139"/>
      <c r="AL59" s="253">
        <f>SUM(AM59:AQ59)</f>
        <v>0</v>
      </c>
      <c r="AM59" s="139"/>
      <c r="AN59" s="139"/>
      <c r="AO59" s="139"/>
      <c r="AP59" s="139"/>
      <c r="AQ59" s="139"/>
      <c r="AR59" s="253">
        <f t="shared" si="10"/>
        <v>0</v>
      </c>
      <c r="AS59" s="139"/>
      <c r="AT59" s="139"/>
      <c r="AU59" s="139"/>
      <c r="AV59" s="139"/>
      <c r="AW59" s="139"/>
      <c r="AX59" s="139"/>
      <c r="AY59" s="139"/>
      <c r="AZ59" s="556" t="str">
        <f>'Учебный план'!CD79</f>
        <v>64-3</v>
      </c>
      <c r="BA59" s="556" t="str">
        <f>'Учебный план'!CE79</f>
        <v>ОК 1-10; ПК 1.1-1.5; 2.1-2.7</v>
      </c>
    </row>
    <row r="60" spans="1:53" s="319" customFormat="1" ht="26.1" customHeight="1" x14ac:dyDescent="0.2">
      <c r="A60" s="572" t="str">
        <f>'Учебный план'!A80</f>
        <v>УП.00</v>
      </c>
      <c r="B60" s="575" t="str">
        <f>'Учебный план'!B80:C80</f>
        <v>Учебная практика</v>
      </c>
      <c r="C60" s="575"/>
      <c r="D60" s="573"/>
      <c r="E60" s="573" t="s">
        <v>27</v>
      </c>
      <c r="F60" s="573"/>
      <c r="G60" s="573"/>
      <c r="H60" s="573"/>
      <c r="I60" s="573"/>
      <c r="J60" s="573"/>
      <c r="K60" s="567">
        <f>'Учебный план'!K80</f>
        <v>396</v>
      </c>
      <c r="L60" s="567">
        <f>'Учебный план'!L80</f>
        <v>396</v>
      </c>
      <c r="M60" s="567">
        <v>396</v>
      </c>
      <c r="N60" s="567"/>
      <c r="O60" s="567"/>
      <c r="P60" s="567"/>
      <c r="Q60" s="567"/>
      <c r="R60" s="567">
        <v>396</v>
      </c>
      <c r="S60" s="567"/>
      <c r="T60" s="567"/>
      <c r="U60" s="567"/>
      <c r="V60" s="567"/>
      <c r="W60" s="567"/>
      <c r="X60" s="567"/>
      <c r="Y60" s="567"/>
      <c r="Z60" s="567">
        <v>396</v>
      </c>
      <c r="AA60" s="567"/>
      <c r="AB60" s="567"/>
      <c r="AC60" s="567"/>
      <c r="AD60" s="567">
        <f>11*36</f>
        <v>396</v>
      </c>
      <c r="AE60" s="567"/>
      <c r="AF60" s="567"/>
      <c r="AG60" s="567"/>
      <c r="AH60" s="567"/>
      <c r="AI60" s="567"/>
      <c r="AJ60" s="567"/>
      <c r="AK60" s="567"/>
      <c r="AL60" s="567"/>
      <c r="AM60" s="567"/>
      <c r="AN60" s="567"/>
      <c r="AO60" s="567"/>
      <c r="AP60" s="567"/>
      <c r="AQ60" s="567"/>
      <c r="AR60" s="567"/>
      <c r="AS60" s="567"/>
      <c r="AT60" s="567"/>
      <c r="AU60" s="567"/>
      <c r="AV60" s="567"/>
      <c r="AW60" s="567"/>
      <c r="AX60" s="567"/>
      <c r="AY60" s="567"/>
      <c r="AZ60" s="568">
        <f>'Учебный план'!CD80</f>
        <v>0</v>
      </c>
      <c r="BA60" s="568" t="str">
        <f>'Учебный план'!CE80</f>
        <v>ОК 1-10;ПК 1.1-1.5;ПК 2.1-2.7; ПК 3.1-3.3</v>
      </c>
    </row>
    <row r="61" spans="1:53" s="229" customFormat="1" ht="26.1" customHeight="1" x14ac:dyDescent="0.2">
      <c r="A61" s="576" t="str">
        <f>'Учебный план'!A87:B87</f>
        <v>ПП.00</v>
      </c>
      <c r="B61" s="576" t="str">
        <f>'Учебный план'!B87:C87</f>
        <v>Производственная практика</v>
      </c>
      <c r="C61" s="576"/>
      <c r="D61" s="573"/>
      <c r="E61" s="573" t="s">
        <v>559</v>
      </c>
      <c r="F61" s="573"/>
      <c r="G61" s="573"/>
      <c r="H61" s="573"/>
      <c r="I61" s="573"/>
      <c r="J61" s="573"/>
      <c r="K61" s="567">
        <f>'Учебный план'!K87</f>
        <v>1116</v>
      </c>
      <c r="L61" s="567">
        <f>'Учебный план'!L87</f>
        <v>1116</v>
      </c>
      <c r="M61" s="567">
        <f t="shared" ref="M61:M66" si="72">SUM(N61+S61)</f>
        <v>1476</v>
      </c>
      <c r="N61" s="567">
        <f t="shared" ref="N61:N66" si="73">SUM(O61:R61)</f>
        <v>1476</v>
      </c>
      <c r="O61" s="567">
        <f>AA61+AG61+AM61+AT61</f>
        <v>0</v>
      </c>
      <c r="P61" s="567">
        <f>AB61+AH61+AN61+AU61</f>
        <v>0</v>
      </c>
      <c r="Q61" s="567">
        <f>AC61+AI61+AO61+AV61</f>
        <v>0</v>
      </c>
      <c r="R61" s="567">
        <f>AD61+AJ61+AP61+AW61</f>
        <v>1476</v>
      </c>
      <c r="S61" s="567">
        <f>AE61+AK61+AQ61+AY61</f>
        <v>0</v>
      </c>
      <c r="T61" s="567">
        <f t="shared" ref="T61:AY61" si="74">SUM(T62:T63)</f>
        <v>0</v>
      </c>
      <c r="U61" s="567">
        <f t="shared" si="74"/>
        <v>0</v>
      </c>
      <c r="V61" s="567">
        <f t="shared" si="74"/>
        <v>0</v>
      </c>
      <c r="W61" s="567">
        <f t="shared" si="74"/>
        <v>0</v>
      </c>
      <c r="X61" s="567">
        <f t="shared" si="74"/>
        <v>0</v>
      </c>
      <c r="Y61" s="567">
        <f t="shared" si="74"/>
        <v>0</v>
      </c>
      <c r="Z61" s="567">
        <f t="shared" si="74"/>
        <v>0</v>
      </c>
      <c r="AA61" s="567">
        <f t="shared" si="74"/>
        <v>0</v>
      </c>
      <c r="AB61" s="567">
        <f t="shared" si="74"/>
        <v>0</v>
      </c>
      <c r="AC61" s="567">
        <f t="shared" si="74"/>
        <v>0</v>
      </c>
      <c r="AD61" s="567">
        <f t="shared" si="74"/>
        <v>0</v>
      </c>
      <c r="AE61" s="567">
        <f t="shared" si="74"/>
        <v>0</v>
      </c>
      <c r="AF61" s="567">
        <f t="shared" si="74"/>
        <v>1008</v>
      </c>
      <c r="AG61" s="567">
        <f t="shared" si="74"/>
        <v>0</v>
      </c>
      <c r="AH61" s="567">
        <f t="shared" si="74"/>
        <v>0</v>
      </c>
      <c r="AI61" s="567">
        <f t="shared" si="74"/>
        <v>0</v>
      </c>
      <c r="AJ61" s="567">
        <f t="shared" si="74"/>
        <v>1008</v>
      </c>
      <c r="AK61" s="567">
        <f t="shared" si="74"/>
        <v>0</v>
      </c>
      <c r="AL61" s="567">
        <f t="shared" si="74"/>
        <v>468</v>
      </c>
      <c r="AM61" s="567">
        <f t="shared" si="74"/>
        <v>0</v>
      </c>
      <c r="AN61" s="567">
        <f t="shared" si="74"/>
        <v>0</v>
      </c>
      <c r="AO61" s="567">
        <f t="shared" si="74"/>
        <v>0</v>
      </c>
      <c r="AP61" s="567">
        <f t="shared" si="74"/>
        <v>468</v>
      </c>
      <c r="AQ61" s="567">
        <f t="shared" si="74"/>
        <v>0</v>
      </c>
      <c r="AR61" s="567">
        <f t="shared" si="74"/>
        <v>0</v>
      </c>
      <c r="AS61" s="567">
        <f t="shared" si="74"/>
        <v>0</v>
      </c>
      <c r="AT61" s="567">
        <f t="shared" si="74"/>
        <v>0</v>
      </c>
      <c r="AU61" s="567">
        <f t="shared" si="74"/>
        <v>0</v>
      </c>
      <c r="AV61" s="567">
        <f t="shared" si="74"/>
        <v>0</v>
      </c>
      <c r="AW61" s="567">
        <f t="shared" si="74"/>
        <v>0</v>
      </c>
      <c r="AX61" s="567">
        <f t="shared" si="74"/>
        <v>0</v>
      </c>
      <c r="AY61" s="567">
        <f t="shared" si="74"/>
        <v>0</v>
      </c>
      <c r="AZ61" s="577">
        <f>'Учебный план'!CD87</f>
        <v>0</v>
      </c>
      <c r="BA61" s="577">
        <f>'Учебный план'!CE87</f>
        <v>0</v>
      </c>
    </row>
    <row r="62" spans="1:53" s="229" customFormat="1" ht="26.1" customHeight="1" x14ac:dyDescent="0.2">
      <c r="A62" s="560" t="str">
        <f>'Учебный план'!A88</f>
        <v>ПП.01</v>
      </c>
      <c r="B62" s="560" t="str">
        <f>'Учебный план'!B88</f>
        <v>Производственная практика (практика по профилю специальности)</v>
      </c>
      <c r="C62" s="578"/>
      <c r="D62" s="135"/>
      <c r="E62" s="135" t="s">
        <v>507</v>
      </c>
      <c r="F62" s="135"/>
      <c r="G62" s="135"/>
      <c r="H62" s="135"/>
      <c r="I62" s="135"/>
      <c r="J62" s="135"/>
      <c r="K62" s="555">
        <f>'Учебный план'!K88</f>
        <v>972</v>
      </c>
      <c r="L62" s="555">
        <f>'Учебный план'!L88</f>
        <v>972</v>
      </c>
      <c r="M62" s="138">
        <f t="shared" si="72"/>
        <v>1332</v>
      </c>
      <c r="N62" s="138">
        <f t="shared" si="73"/>
        <v>1332</v>
      </c>
      <c r="O62" s="138">
        <f t="shared" ref="O62:Q63" si="75">AA62+AG62+AM62+AT62+U62</f>
        <v>0</v>
      </c>
      <c r="P62" s="138">
        <f t="shared" si="75"/>
        <v>0</v>
      </c>
      <c r="Q62" s="138">
        <f t="shared" si="75"/>
        <v>0</v>
      </c>
      <c r="R62" s="138">
        <f>AD62+AJ62+AP62+AW62</f>
        <v>1332</v>
      </c>
      <c r="S62" s="138">
        <f>AE62+AK62+AQ62+AY62+Y62</f>
        <v>0</v>
      </c>
      <c r="T62" s="253">
        <f>SUM(U62:Y62)</f>
        <v>0</v>
      </c>
      <c r="U62" s="139"/>
      <c r="V62" s="139"/>
      <c r="W62" s="139"/>
      <c r="X62" s="139"/>
      <c r="Y62" s="139"/>
      <c r="Z62" s="253">
        <f>SUM(AA62:AE62)</f>
        <v>0</v>
      </c>
      <c r="AA62" s="139"/>
      <c r="AB62" s="139"/>
      <c r="AC62" s="139"/>
      <c r="AD62" s="139"/>
      <c r="AE62" s="139"/>
      <c r="AF62" s="253">
        <f>SUM(AG62:AK62)</f>
        <v>1008</v>
      </c>
      <c r="AG62" s="139"/>
      <c r="AH62" s="139"/>
      <c r="AI62" s="139"/>
      <c r="AJ62" s="139">
        <v>1008</v>
      </c>
      <c r="AK62" s="139"/>
      <c r="AL62" s="253">
        <f>SUM(AM62:AQ62)</f>
        <v>324</v>
      </c>
      <c r="AM62" s="139"/>
      <c r="AN62" s="139"/>
      <c r="AO62" s="139"/>
      <c r="AP62" s="139">
        <v>324</v>
      </c>
      <c r="AQ62" s="139"/>
      <c r="AR62" s="253">
        <f t="shared" ref="AR62:AR63" si="76">SUM(AS62:AY62)</f>
        <v>0</v>
      </c>
      <c r="AS62" s="139"/>
      <c r="AT62" s="139"/>
      <c r="AU62" s="139"/>
      <c r="AV62" s="139"/>
      <c r="AW62" s="139"/>
      <c r="AX62" s="139"/>
      <c r="AY62" s="139"/>
      <c r="AZ62" s="556" t="str">
        <f>'Учебный план'!CD88</f>
        <v>64-5</v>
      </c>
      <c r="BA62" s="556" t="str">
        <f>'Учебный план'!CE88</f>
        <v>ОК 1-10, ПК1.1-1.5, ПК2.1- 2.7, ПК 3.1-3.3</v>
      </c>
    </row>
    <row r="63" spans="1:53" s="229" customFormat="1" ht="26.1" customHeight="1" x14ac:dyDescent="0.2">
      <c r="A63" s="560" t="str">
        <f>'Учебный план'!A89</f>
        <v>ПП.02</v>
      </c>
      <c r="B63" s="560" t="str">
        <f>'Учебный план'!B89</f>
        <v>Преддипломная практика</v>
      </c>
      <c r="C63" s="578"/>
      <c r="D63" s="135"/>
      <c r="E63" s="135" t="s">
        <v>39</v>
      </c>
      <c r="F63" s="135"/>
      <c r="G63" s="135"/>
      <c r="H63" s="135"/>
      <c r="I63" s="135"/>
      <c r="J63" s="135"/>
      <c r="K63" s="555">
        <f>'Учебный план'!K89</f>
        <v>144</v>
      </c>
      <c r="L63" s="555">
        <f>'Учебный план'!L89</f>
        <v>144</v>
      </c>
      <c r="M63" s="138">
        <f t="shared" si="72"/>
        <v>144</v>
      </c>
      <c r="N63" s="138">
        <f t="shared" si="73"/>
        <v>144</v>
      </c>
      <c r="O63" s="138">
        <f t="shared" si="75"/>
        <v>0</v>
      </c>
      <c r="P63" s="138">
        <f t="shared" si="75"/>
        <v>0</v>
      </c>
      <c r="Q63" s="138">
        <f t="shared" si="75"/>
        <v>0</v>
      </c>
      <c r="R63" s="138">
        <f>AD63+AJ63+AP63+AW63</f>
        <v>144</v>
      </c>
      <c r="S63" s="138">
        <f>AE63+AK63+AQ63+AY63+Y63</f>
        <v>0</v>
      </c>
      <c r="T63" s="253">
        <f>SUM(U63:Y63)</f>
        <v>0</v>
      </c>
      <c r="U63" s="139"/>
      <c r="V63" s="139"/>
      <c r="W63" s="139"/>
      <c r="X63" s="139"/>
      <c r="Y63" s="139"/>
      <c r="Z63" s="253">
        <f>SUM(AA63:AE63)</f>
        <v>0</v>
      </c>
      <c r="AA63" s="139"/>
      <c r="AB63" s="139"/>
      <c r="AC63" s="139"/>
      <c r="AD63" s="139"/>
      <c r="AE63" s="139"/>
      <c r="AF63" s="253">
        <f>SUM(AG63:AK63)</f>
        <v>0</v>
      </c>
      <c r="AG63" s="139"/>
      <c r="AH63" s="139"/>
      <c r="AI63" s="139"/>
      <c r="AJ63" s="139"/>
      <c r="AK63" s="139"/>
      <c r="AL63" s="253">
        <f>SUM(AM63:AQ63)</f>
        <v>144</v>
      </c>
      <c r="AM63" s="139"/>
      <c r="AN63" s="139"/>
      <c r="AO63" s="139"/>
      <c r="AP63" s="139">
        <v>144</v>
      </c>
      <c r="AQ63" s="139"/>
      <c r="AR63" s="253">
        <f t="shared" si="76"/>
        <v>0</v>
      </c>
      <c r="AS63" s="139"/>
      <c r="AT63" s="139"/>
      <c r="AU63" s="139"/>
      <c r="AV63" s="139"/>
      <c r="AW63" s="139"/>
      <c r="AX63" s="139"/>
      <c r="AY63" s="139"/>
      <c r="AZ63" s="556" t="str">
        <f>'Учебный план'!CD89</f>
        <v>64-5</v>
      </c>
      <c r="BA63" s="556" t="str">
        <f>'Учебный план'!CE89</f>
        <v>ОК 1-10, ПК1.1-1.5, ПК2.1- 2.7, ПК 3.1-3.3</v>
      </c>
    </row>
    <row r="64" spans="1:53" s="319" customFormat="1" ht="26.1" customHeight="1" thickBot="1" x14ac:dyDescent="0.25">
      <c r="A64" s="572" t="str">
        <f>'Учебный план'!A90</f>
        <v>ГИА.00</v>
      </c>
      <c r="B64" s="834" t="str">
        <f>'Учебный план'!B90:C90</f>
        <v>Государственная итоговая аттестация</v>
      </c>
      <c r="C64" s="834"/>
      <c r="D64" s="834"/>
      <c r="E64" s="834"/>
      <c r="F64" s="834"/>
      <c r="G64" s="834"/>
      <c r="H64" s="834"/>
      <c r="I64" s="573"/>
      <c r="J64" s="573"/>
      <c r="K64" s="567">
        <f>'Учебный план'!K90</f>
        <v>216</v>
      </c>
      <c r="L64" s="567">
        <f>'Учебный план'!L90</f>
        <v>0</v>
      </c>
      <c r="M64" s="567">
        <f t="shared" si="72"/>
        <v>216</v>
      </c>
      <c r="N64" s="567">
        <f t="shared" si="73"/>
        <v>0</v>
      </c>
      <c r="O64" s="567">
        <f t="shared" ref="O64:Q66" si="77">AA64+AG64+AM64+AT64</f>
        <v>0</v>
      </c>
      <c r="P64" s="567">
        <f t="shared" si="77"/>
        <v>0</v>
      </c>
      <c r="Q64" s="567">
        <f t="shared" si="77"/>
        <v>0</v>
      </c>
      <c r="R64" s="567">
        <f>AD64+AJ64+AP64+AW64</f>
        <v>0</v>
      </c>
      <c r="S64" s="567">
        <f>AE64+AK64+AQ64+AY64</f>
        <v>216</v>
      </c>
      <c r="T64" s="567">
        <f t="shared" ref="T64:Y64" si="78">SUM(T65:T66)</f>
        <v>0</v>
      </c>
      <c r="U64" s="567">
        <f t="shared" si="78"/>
        <v>0</v>
      </c>
      <c r="V64" s="567">
        <f t="shared" si="78"/>
        <v>0</v>
      </c>
      <c r="W64" s="567">
        <f t="shared" si="78"/>
        <v>0</v>
      </c>
      <c r="X64" s="567">
        <f t="shared" si="78"/>
        <v>0</v>
      </c>
      <c r="Y64" s="567">
        <f t="shared" si="78"/>
        <v>0</v>
      </c>
      <c r="Z64" s="567">
        <f t="shared" ref="Z64:AE64" si="79">SUM(Z65:Z66)</f>
        <v>0</v>
      </c>
      <c r="AA64" s="567">
        <f t="shared" si="79"/>
        <v>0</v>
      </c>
      <c r="AB64" s="567">
        <f t="shared" si="79"/>
        <v>0</v>
      </c>
      <c r="AC64" s="567">
        <f t="shared" si="79"/>
        <v>0</v>
      </c>
      <c r="AD64" s="567">
        <f t="shared" si="79"/>
        <v>0</v>
      </c>
      <c r="AE64" s="567">
        <f t="shared" si="79"/>
        <v>0</v>
      </c>
      <c r="AF64" s="567">
        <f t="shared" ref="AF64:AK64" si="80">SUM(AF65:AF66)</f>
        <v>0</v>
      </c>
      <c r="AG64" s="567">
        <f t="shared" si="80"/>
        <v>0</v>
      </c>
      <c r="AH64" s="567">
        <f t="shared" si="80"/>
        <v>0</v>
      </c>
      <c r="AI64" s="567">
        <f t="shared" si="80"/>
        <v>0</v>
      </c>
      <c r="AJ64" s="567">
        <f t="shared" si="80"/>
        <v>0</v>
      </c>
      <c r="AK64" s="567">
        <f t="shared" si="80"/>
        <v>0</v>
      </c>
      <c r="AL64" s="567">
        <f t="shared" ref="AL64:AQ64" si="81">SUM(AL65:AL66)</f>
        <v>216</v>
      </c>
      <c r="AM64" s="567">
        <f t="shared" si="81"/>
        <v>0</v>
      </c>
      <c r="AN64" s="567">
        <f t="shared" si="81"/>
        <v>0</v>
      </c>
      <c r="AO64" s="567">
        <f t="shared" si="81"/>
        <v>0</v>
      </c>
      <c r="AP64" s="567">
        <f t="shared" si="81"/>
        <v>0</v>
      </c>
      <c r="AQ64" s="567">
        <f t="shared" si="81"/>
        <v>216</v>
      </c>
      <c r="AR64" s="567">
        <f t="shared" ref="AR64:AY64" si="82">SUM(AR65:AR66)</f>
        <v>0</v>
      </c>
      <c r="AS64" s="567">
        <f t="shared" si="82"/>
        <v>0</v>
      </c>
      <c r="AT64" s="567">
        <f t="shared" si="82"/>
        <v>0</v>
      </c>
      <c r="AU64" s="567">
        <f t="shared" si="82"/>
        <v>0</v>
      </c>
      <c r="AV64" s="567">
        <f t="shared" si="82"/>
        <v>0</v>
      </c>
      <c r="AW64" s="567">
        <f t="shared" si="82"/>
        <v>0</v>
      </c>
      <c r="AX64" s="567">
        <f t="shared" si="82"/>
        <v>0</v>
      </c>
      <c r="AY64" s="567">
        <f t="shared" si="82"/>
        <v>0</v>
      </c>
      <c r="AZ64" s="568">
        <f>'Учебный план'!CD90</f>
        <v>0</v>
      </c>
      <c r="BA64" s="568">
        <f>'Учебный план'!CE90</f>
        <v>0</v>
      </c>
    </row>
    <row r="65" spans="1:53" s="230" customFormat="1" ht="25.5" hidden="1" x14ac:dyDescent="0.2">
      <c r="A65" s="522" t="str">
        <f>'Учебный план'!A90</f>
        <v>ГИА.00</v>
      </c>
      <c r="B65" s="522" t="str">
        <f>'Учебный план'!B91</f>
        <v>Подготовка ВКР</v>
      </c>
      <c r="C65" s="526"/>
      <c r="D65" s="527"/>
      <c r="E65" s="527"/>
      <c r="F65" s="527"/>
      <c r="G65" s="527"/>
      <c r="H65" s="527"/>
      <c r="I65" s="527"/>
      <c r="J65" s="527"/>
      <c r="K65" s="518">
        <f>'Учебный план'!K91</f>
        <v>216</v>
      </c>
      <c r="L65" s="518">
        <f>'Учебный план'!L91</f>
        <v>0</v>
      </c>
      <c r="M65" s="519">
        <f t="shared" si="72"/>
        <v>216</v>
      </c>
      <c r="N65" s="228">
        <f t="shared" si="73"/>
        <v>0</v>
      </c>
      <c r="O65" s="228">
        <f t="shared" si="77"/>
        <v>0</v>
      </c>
      <c r="P65" s="228">
        <f t="shared" si="77"/>
        <v>0</v>
      </c>
      <c r="Q65" s="228">
        <f t="shared" si="77"/>
        <v>0</v>
      </c>
      <c r="R65" s="228">
        <f>AD65+AJ65+AP65+AW65</f>
        <v>0</v>
      </c>
      <c r="S65" s="228">
        <f>AE65+AK65+AQ65+AY65</f>
        <v>216</v>
      </c>
      <c r="T65" s="520">
        <f>SUM(U65:Y65)</f>
        <v>0</v>
      </c>
      <c r="U65" s="528"/>
      <c r="V65" s="528"/>
      <c r="W65" s="528"/>
      <c r="X65" s="528"/>
      <c r="Y65" s="528"/>
      <c r="Z65" s="520">
        <f>SUM(AA65:AE65)</f>
        <v>0</v>
      </c>
      <c r="AA65" s="528"/>
      <c r="AB65" s="528"/>
      <c r="AC65" s="528"/>
      <c r="AD65" s="528"/>
      <c r="AE65" s="528"/>
      <c r="AF65" s="520">
        <f>SUM(AG65:AK65)</f>
        <v>0</v>
      </c>
      <c r="AG65" s="528"/>
      <c r="AH65" s="528"/>
      <c r="AI65" s="528"/>
      <c r="AJ65" s="528"/>
      <c r="AK65" s="528"/>
      <c r="AL65" s="520">
        <f>SUM(AM65:AQ65)</f>
        <v>216</v>
      </c>
      <c r="AM65" s="528"/>
      <c r="AN65" s="528"/>
      <c r="AO65" s="528"/>
      <c r="AP65" s="139"/>
      <c r="AQ65" s="139">
        <v>216</v>
      </c>
      <c r="AR65" s="520">
        <f t="shared" ref="AR65:AR67" si="83">SUM(AS65:AY65)</f>
        <v>0</v>
      </c>
      <c r="AS65" s="528"/>
      <c r="AT65" s="528"/>
      <c r="AU65" s="528"/>
      <c r="AV65" s="528"/>
      <c r="AW65" s="528"/>
      <c r="AX65" s="528"/>
      <c r="AY65" s="528"/>
      <c r="AZ65" s="521" t="str">
        <f>'Учебный план'!CD91</f>
        <v>64-4</v>
      </c>
      <c r="BA65" s="521" t="str">
        <f>'Учебный план'!CE91</f>
        <v>ОК 1-10; ПК 1.1-1.5, 2.1-2.7, 3.1-3.3</v>
      </c>
    </row>
    <row r="66" spans="1:53" s="230" customFormat="1" ht="25.5" hidden="1" x14ac:dyDescent="0.2">
      <c r="A66" s="522" t="str">
        <f>'Учебный план'!A91</f>
        <v>ГИА.01</v>
      </c>
      <c r="B66" s="522" t="str">
        <f>'Учебный план'!B92</f>
        <v>Защита ВКР</v>
      </c>
      <c r="C66" s="526"/>
      <c r="D66" s="527"/>
      <c r="E66" s="527"/>
      <c r="F66" s="527"/>
      <c r="G66" s="527"/>
      <c r="H66" s="527"/>
      <c r="I66" s="527"/>
      <c r="J66" s="527"/>
      <c r="K66" s="518">
        <f>'Учебный план'!K92</f>
        <v>0</v>
      </c>
      <c r="L66" s="518">
        <f>'Учебный план'!L92</f>
        <v>0</v>
      </c>
      <c r="M66" s="519">
        <f t="shared" si="72"/>
        <v>0</v>
      </c>
      <c r="N66" s="228">
        <f t="shared" si="73"/>
        <v>0</v>
      </c>
      <c r="O66" s="228">
        <f t="shared" si="77"/>
        <v>0</v>
      </c>
      <c r="P66" s="228">
        <f t="shared" si="77"/>
        <v>0</v>
      </c>
      <c r="Q66" s="228">
        <f t="shared" si="77"/>
        <v>0</v>
      </c>
      <c r="R66" s="228">
        <f>AD66+AJ66+AP66+AW66</f>
        <v>0</v>
      </c>
      <c r="S66" s="228">
        <f>AE66+AK66+AQ66+AY66</f>
        <v>0</v>
      </c>
      <c r="T66" s="520">
        <f>SUM(U66:Y66)</f>
        <v>0</v>
      </c>
      <c r="U66" s="528"/>
      <c r="V66" s="528"/>
      <c r="W66" s="528"/>
      <c r="X66" s="528"/>
      <c r="Y66" s="528"/>
      <c r="Z66" s="520">
        <f>SUM(AA66:AE66)</f>
        <v>0</v>
      </c>
      <c r="AA66" s="528"/>
      <c r="AB66" s="528"/>
      <c r="AC66" s="528"/>
      <c r="AD66" s="528"/>
      <c r="AE66" s="528"/>
      <c r="AF66" s="520">
        <f>SUM(AG66:AK66)</f>
        <v>0</v>
      </c>
      <c r="AG66" s="528"/>
      <c r="AH66" s="528"/>
      <c r="AI66" s="528"/>
      <c r="AJ66" s="528"/>
      <c r="AK66" s="528"/>
      <c r="AL66" s="520">
        <f>SUM(AM66:AQ66)</f>
        <v>0</v>
      </c>
      <c r="AM66" s="528"/>
      <c r="AN66" s="528"/>
      <c r="AO66" s="528"/>
      <c r="AP66" s="139"/>
      <c r="AQ66" s="139"/>
      <c r="AR66" s="520">
        <f t="shared" si="83"/>
        <v>0</v>
      </c>
      <c r="AS66" s="528"/>
      <c r="AT66" s="528"/>
      <c r="AU66" s="528"/>
      <c r="AV66" s="528"/>
      <c r="AW66" s="528"/>
      <c r="AX66" s="528">
        <v>0</v>
      </c>
      <c r="AY66" s="528"/>
      <c r="AZ66" s="521" t="str">
        <f>'Учебный план'!CD92</f>
        <v>64-4</v>
      </c>
      <c r="BA66" s="521" t="str">
        <f>'Учебный план'!CE92</f>
        <v>ОК 1-10; ПК 1.1-1.5, 2.1-2.7, 3.1-3.3</v>
      </c>
    </row>
    <row r="67" spans="1:53" s="230" customFormat="1" hidden="1" x14ac:dyDescent="0.2">
      <c r="A67" s="529"/>
      <c r="B67" s="530" t="s">
        <v>179</v>
      </c>
      <c r="C67" s="530"/>
      <c r="D67" s="531"/>
      <c r="E67" s="531"/>
      <c r="F67" s="531"/>
      <c r="G67" s="531"/>
      <c r="H67" s="531"/>
      <c r="I67" s="531"/>
      <c r="J67" s="531"/>
      <c r="K67" s="517"/>
      <c r="L67" s="517"/>
      <c r="M67" s="532"/>
      <c r="N67" s="517" t="s">
        <v>26</v>
      </c>
      <c r="O67" s="517"/>
      <c r="P67" s="517"/>
      <c r="Q67" s="517"/>
      <c r="R67" s="517"/>
      <c r="S67" s="523"/>
      <c r="T67" s="524">
        <f>SUM(U67:Y67)</f>
        <v>0</v>
      </c>
      <c r="U67" s="523"/>
      <c r="V67" s="523"/>
      <c r="W67" s="523"/>
      <c r="X67" s="523"/>
      <c r="Y67" s="523"/>
      <c r="Z67" s="524">
        <f>SUM(AA67:AE67)</f>
        <v>0</v>
      </c>
      <c r="AA67" s="523"/>
      <c r="AB67" s="523"/>
      <c r="AC67" s="523"/>
      <c r="AD67" s="523"/>
      <c r="AE67" s="523"/>
      <c r="AF67" s="524">
        <f>SUM(AG67:AK67)</f>
        <v>0</v>
      </c>
      <c r="AG67" s="523"/>
      <c r="AH67" s="523"/>
      <c r="AI67" s="523"/>
      <c r="AJ67" s="523"/>
      <c r="AK67" s="523"/>
      <c r="AL67" s="524">
        <f>SUM(AM67:AQ67)</f>
        <v>0</v>
      </c>
      <c r="AM67" s="523"/>
      <c r="AN67" s="523"/>
      <c r="AO67" s="523"/>
      <c r="AP67" s="523"/>
      <c r="AQ67" s="523"/>
      <c r="AR67" s="524">
        <f t="shared" si="83"/>
        <v>0</v>
      </c>
      <c r="AS67" s="523"/>
      <c r="AT67" s="523"/>
      <c r="AU67" s="523"/>
      <c r="AV67" s="523"/>
      <c r="AW67" s="523"/>
      <c r="AX67" s="523"/>
      <c r="AY67" s="523" t="s">
        <v>26</v>
      </c>
      <c r="AZ67" s="525">
        <f>'Учебный план'!CD93</f>
        <v>0</v>
      </c>
      <c r="BA67" s="525">
        <f>'Учебный план'!CE93</f>
        <v>0</v>
      </c>
    </row>
    <row r="68" spans="1:53" hidden="1" x14ac:dyDescent="0.2">
      <c r="A68" s="291"/>
      <c r="B68" s="292"/>
      <c r="C68" s="292"/>
      <c r="D68" s="293"/>
      <c r="E68" s="293"/>
      <c r="F68" s="293"/>
      <c r="G68" s="293"/>
      <c r="H68" s="293"/>
      <c r="I68" s="293"/>
      <c r="J68" s="293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</row>
    <row r="69" spans="1:53" hidden="1" x14ac:dyDescent="0.2">
      <c r="A69" s="869" t="str">
        <f>'Титульный лист-з'!A11:N11</f>
        <v>Специфика:</v>
      </c>
      <c r="B69" s="870"/>
      <c r="C69" s="870"/>
      <c r="D69" s="63"/>
      <c r="E69" s="231"/>
      <c r="F69" s="231"/>
      <c r="G69" s="63"/>
      <c r="H69" s="63"/>
      <c r="I69" s="63"/>
      <c r="J69" s="63"/>
      <c r="K69" s="64"/>
      <c r="L69" s="64"/>
      <c r="M69" s="63"/>
      <c r="N69" s="63"/>
      <c r="O69" s="63"/>
      <c r="P69" s="63"/>
      <c r="Q69" s="63"/>
      <c r="R69" s="63"/>
      <c r="S69" s="63"/>
      <c r="T69" s="64"/>
      <c r="U69" s="232"/>
      <c r="V69" s="232"/>
      <c r="W69" s="232"/>
      <c r="X69" s="232"/>
      <c r="Y69" s="232"/>
      <c r="Z69" s="64"/>
      <c r="AA69" s="232"/>
      <c r="AB69" s="232"/>
      <c r="AC69" s="232"/>
      <c r="AD69" s="232"/>
      <c r="AE69" s="232"/>
      <c r="AF69" s="64"/>
      <c r="AG69" s="232"/>
      <c r="AH69" s="232"/>
      <c r="AI69" s="232"/>
      <c r="AJ69" s="232"/>
      <c r="AK69" s="232"/>
      <c r="AL69" s="64"/>
      <c r="AM69" s="232"/>
      <c r="AN69" s="232"/>
      <c r="AO69" s="232"/>
      <c r="AP69" s="232"/>
      <c r="AQ69" s="232"/>
      <c r="AR69" s="64"/>
      <c r="AS69" s="232"/>
      <c r="AT69" s="232"/>
      <c r="AU69" s="232"/>
      <c r="AV69" s="232"/>
      <c r="AW69" s="232"/>
      <c r="AX69" s="232"/>
      <c r="AY69" s="232"/>
    </row>
    <row r="70" spans="1:53" ht="13.5" hidden="1" thickBot="1" x14ac:dyDescent="0.25">
      <c r="A70" s="882">
        <f>'Титульный лист-з'!O11</f>
        <v>0</v>
      </c>
      <c r="B70" s="883"/>
      <c r="C70" s="883"/>
      <c r="D70" s="65"/>
      <c r="E70" s="233"/>
      <c r="F70" s="233"/>
      <c r="G70" s="65"/>
      <c r="H70" s="65"/>
      <c r="I70" s="65"/>
      <c r="J70" s="65"/>
      <c r="K70" s="66"/>
      <c r="L70" s="66"/>
      <c r="M70" s="326"/>
      <c r="N70" s="326"/>
      <c r="O70" s="326"/>
      <c r="P70" s="326"/>
      <c r="Q70" s="326"/>
      <c r="R70" s="326"/>
      <c r="S70" s="326"/>
      <c r="T70" s="156"/>
      <c r="U70" s="327"/>
      <c r="V70" s="327"/>
      <c r="W70" s="327"/>
      <c r="X70" s="327"/>
      <c r="Y70" s="327"/>
      <c r="Z70" s="156"/>
      <c r="AA70" s="327"/>
      <c r="AB70" s="327"/>
      <c r="AC70" s="327"/>
      <c r="AD70" s="327"/>
      <c r="AE70" s="327"/>
      <c r="AF70" s="156"/>
      <c r="AG70" s="327"/>
      <c r="AH70" s="327"/>
      <c r="AI70" s="327"/>
      <c r="AJ70" s="327"/>
      <c r="AK70" s="327"/>
      <c r="AL70" s="156"/>
      <c r="AM70" s="327"/>
      <c r="AN70" s="327"/>
      <c r="AO70" s="327"/>
      <c r="AP70" s="327"/>
      <c r="AQ70" s="327"/>
      <c r="AR70" s="156"/>
      <c r="AS70" s="327"/>
      <c r="AT70" s="327"/>
      <c r="AU70" s="327"/>
      <c r="AV70" s="327"/>
      <c r="AW70" s="327"/>
      <c r="AX70" s="327"/>
      <c r="AY70" s="327"/>
    </row>
    <row r="71" spans="1:53" x14ac:dyDescent="0.2">
      <c r="A71" s="67"/>
      <c r="B71" s="841" t="s">
        <v>581</v>
      </c>
      <c r="C71" s="842"/>
      <c r="D71" s="842"/>
      <c r="E71" s="842"/>
      <c r="F71" s="842"/>
      <c r="G71" s="842"/>
      <c r="H71" s="884"/>
      <c r="I71" s="396"/>
      <c r="J71" s="390"/>
      <c r="K71" s="234">
        <f t="shared" ref="K71:S71" si="84">K9+K54</f>
        <v>4212</v>
      </c>
      <c r="L71" s="324">
        <f t="shared" si="84"/>
        <v>2808</v>
      </c>
      <c r="M71" s="243">
        <f t="shared" si="84"/>
        <v>3267</v>
      </c>
      <c r="N71" s="235">
        <f t="shared" si="84"/>
        <v>480</v>
      </c>
      <c r="O71" s="235">
        <f t="shared" si="84"/>
        <v>340</v>
      </c>
      <c r="P71" s="235">
        <f t="shared" si="84"/>
        <v>110</v>
      </c>
      <c r="Q71" s="235">
        <f t="shared" si="84"/>
        <v>30</v>
      </c>
      <c r="R71" s="235">
        <f t="shared" si="84"/>
        <v>0</v>
      </c>
      <c r="S71" s="235">
        <f t="shared" si="84"/>
        <v>2787</v>
      </c>
      <c r="T71" s="544">
        <f>SUM(U71:Y71)</f>
        <v>947</v>
      </c>
      <c r="U71" s="236">
        <f>U9+U54</f>
        <v>122</v>
      </c>
      <c r="V71" s="236">
        <f>V9+V54</f>
        <v>38</v>
      </c>
      <c r="W71" s="236">
        <f>W9+W54</f>
        <v>0</v>
      </c>
      <c r="X71" s="236">
        <f>X9+X54</f>
        <v>0</v>
      </c>
      <c r="Y71" s="236">
        <f>Y9+Y54</f>
        <v>787</v>
      </c>
      <c r="Z71" s="544">
        <f>SUM(AA71:AE71)</f>
        <v>923</v>
      </c>
      <c r="AA71" s="236">
        <f>AA9+AA54</f>
        <v>132</v>
      </c>
      <c r="AB71" s="236">
        <f>AB9+AB54</f>
        <v>28</v>
      </c>
      <c r="AC71" s="236">
        <f>AC9+AC54</f>
        <v>0</v>
      </c>
      <c r="AD71" s="236">
        <f>AD9+AD54</f>
        <v>0</v>
      </c>
      <c r="AE71" s="236">
        <f>AE9+AE54</f>
        <v>763</v>
      </c>
      <c r="AF71" s="544">
        <f>SUM(AG71:AK71)</f>
        <v>1175</v>
      </c>
      <c r="AG71" s="236">
        <f>AG9+AG54</f>
        <v>106</v>
      </c>
      <c r="AH71" s="236">
        <f>AH9+AH54</f>
        <v>24</v>
      </c>
      <c r="AI71" s="236">
        <f>AI9+AI54</f>
        <v>30</v>
      </c>
      <c r="AJ71" s="236">
        <f>AJ9+AJ54</f>
        <v>0</v>
      </c>
      <c r="AK71" s="236">
        <f>AK9+AK54</f>
        <v>1015</v>
      </c>
      <c r="AL71" s="544">
        <f>SUM(AM71:AQ71)</f>
        <v>1169</v>
      </c>
      <c r="AM71" s="236">
        <f>AM9+AM54</f>
        <v>102</v>
      </c>
      <c r="AN71" s="236">
        <f>AN9+AN54</f>
        <v>58</v>
      </c>
      <c r="AO71" s="236">
        <f>AO9+AO54</f>
        <v>0</v>
      </c>
      <c r="AP71" s="236">
        <f>AP9+AP54</f>
        <v>0</v>
      </c>
      <c r="AQ71" s="236">
        <f>AQ9+AQ54</f>
        <v>1009</v>
      </c>
      <c r="AR71" s="541">
        <f>SUM(AS71:AY71)</f>
        <v>0</v>
      </c>
      <c r="AS71" s="329">
        <f t="shared" ref="AS71:AY71" si="85">AS9+AS54</f>
        <v>0</v>
      </c>
      <c r="AT71" s="329">
        <f t="shared" si="85"/>
        <v>0</v>
      </c>
      <c r="AU71" s="329">
        <f t="shared" si="85"/>
        <v>0</v>
      </c>
      <c r="AV71" s="329">
        <f t="shared" si="85"/>
        <v>0</v>
      </c>
      <c r="AW71" s="329">
        <f t="shared" si="85"/>
        <v>0</v>
      </c>
      <c r="AX71" s="329">
        <f t="shared" si="85"/>
        <v>0</v>
      </c>
      <c r="AY71" s="330">
        <f t="shared" si="85"/>
        <v>0</v>
      </c>
    </row>
    <row r="72" spans="1:53" x14ac:dyDescent="0.2">
      <c r="A72" s="67"/>
      <c r="B72" s="841" t="s">
        <v>234</v>
      </c>
      <c r="C72" s="842"/>
      <c r="D72" s="842"/>
      <c r="E72" s="842"/>
      <c r="F72" s="842"/>
      <c r="G72" s="842"/>
      <c r="H72" s="884"/>
      <c r="I72" s="396"/>
      <c r="J72" s="390"/>
      <c r="K72" s="234">
        <v>2484</v>
      </c>
      <c r="L72" s="324">
        <v>1656</v>
      </c>
      <c r="M72" s="243">
        <f>M61</f>
        <v>1476</v>
      </c>
      <c r="N72" s="235">
        <f>N61+N60</f>
        <v>1476</v>
      </c>
      <c r="O72" s="235">
        <f>O61+O60</f>
        <v>0</v>
      </c>
      <c r="P72" s="235">
        <f>P61+P60</f>
        <v>0</v>
      </c>
      <c r="Q72" s="235">
        <f>Q61+Q60</f>
        <v>0</v>
      </c>
      <c r="R72" s="235">
        <v>0</v>
      </c>
      <c r="S72" s="243">
        <f>S61+S60</f>
        <v>0</v>
      </c>
      <c r="T72" s="544">
        <f>SUM(U72:Y72)</f>
        <v>0</v>
      </c>
      <c r="U72" s="236">
        <f>U60+U61</f>
        <v>0</v>
      </c>
      <c r="V72" s="236">
        <f>V60+V61</f>
        <v>0</v>
      </c>
      <c r="W72" s="236">
        <f>W60+W61</f>
        <v>0</v>
      </c>
      <c r="X72" s="236">
        <f>X60+X61</f>
        <v>0</v>
      </c>
      <c r="Y72" s="239">
        <f>Y60+Y61</f>
        <v>0</v>
      </c>
      <c r="Z72" s="544">
        <f>SUM(AA72:AE72)</f>
        <v>396</v>
      </c>
      <c r="AA72" s="236">
        <f>AA60+AA61</f>
        <v>0</v>
      </c>
      <c r="AB72" s="236">
        <f>AB60+AB61</f>
        <v>0</v>
      </c>
      <c r="AC72" s="236">
        <f>AC60+AC61</f>
        <v>0</v>
      </c>
      <c r="AD72" s="236">
        <f>AD60+AD61</f>
        <v>396</v>
      </c>
      <c r="AE72" s="239">
        <f>AE60+AE61</f>
        <v>0</v>
      </c>
      <c r="AF72" s="544">
        <f>SUM(AG72:AK72)</f>
        <v>1008</v>
      </c>
      <c r="AG72" s="236">
        <f>AG60+AG61</f>
        <v>0</v>
      </c>
      <c r="AH72" s="236">
        <f>AH60+AH61</f>
        <v>0</v>
      </c>
      <c r="AI72" s="236">
        <f>AI60+AI61</f>
        <v>0</v>
      </c>
      <c r="AJ72" s="236">
        <f>AJ60+AJ61</f>
        <v>1008</v>
      </c>
      <c r="AK72" s="239">
        <f>AK60+AK61</f>
        <v>0</v>
      </c>
      <c r="AL72" s="544">
        <f>SUM(AM72:AQ72)</f>
        <v>468</v>
      </c>
      <c r="AM72" s="237">
        <f>AM60+AM61</f>
        <v>0</v>
      </c>
      <c r="AN72" s="236">
        <f>AN60+AN61</f>
        <v>0</v>
      </c>
      <c r="AO72" s="236">
        <f>AO60+AO61</f>
        <v>0</v>
      </c>
      <c r="AP72" s="236">
        <f>AP60+AP61</f>
        <v>468</v>
      </c>
      <c r="AQ72" s="239">
        <f>AQ60+AQ61</f>
        <v>0</v>
      </c>
      <c r="AR72" s="542">
        <f>SUM(AS72:AY72)</f>
        <v>0</v>
      </c>
      <c r="AS72" s="236"/>
      <c r="AT72" s="236">
        <f t="shared" ref="AT72:AY72" si="86">AT60+AT61</f>
        <v>0</v>
      </c>
      <c r="AU72" s="236">
        <f t="shared" si="86"/>
        <v>0</v>
      </c>
      <c r="AV72" s="236">
        <f t="shared" si="86"/>
        <v>0</v>
      </c>
      <c r="AW72" s="236">
        <f t="shared" si="86"/>
        <v>0</v>
      </c>
      <c r="AX72" s="236">
        <f t="shared" si="86"/>
        <v>0</v>
      </c>
      <c r="AY72" s="331">
        <f t="shared" si="86"/>
        <v>0</v>
      </c>
    </row>
    <row r="73" spans="1:53" x14ac:dyDescent="0.2">
      <c r="A73" s="67"/>
      <c r="B73" s="841" t="s">
        <v>580</v>
      </c>
      <c r="C73" s="842"/>
      <c r="D73" s="842"/>
      <c r="E73" s="842"/>
      <c r="F73" s="842"/>
      <c r="G73" s="842"/>
      <c r="H73" s="884"/>
      <c r="I73" s="396"/>
      <c r="J73" s="390"/>
      <c r="K73" s="234">
        <f>K64</f>
        <v>216</v>
      </c>
      <c r="L73" s="324">
        <f>L64</f>
        <v>0</v>
      </c>
      <c r="M73" s="243">
        <f>M64</f>
        <v>216</v>
      </c>
      <c r="N73" s="235">
        <f t="shared" ref="N73:R73" si="87">N64</f>
        <v>0</v>
      </c>
      <c r="O73" s="235">
        <f t="shared" si="87"/>
        <v>0</v>
      </c>
      <c r="P73" s="235">
        <f t="shared" si="87"/>
        <v>0</v>
      </c>
      <c r="Q73" s="235">
        <f t="shared" si="87"/>
        <v>0</v>
      </c>
      <c r="R73" s="235">
        <f t="shared" si="87"/>
        <v>0</v>
      </c>
      <c r="S73" s="243">
        <f>S64</f>
        <v>216</v>
      </c>
      <c r="T73" s="544">
        <f>SUM(U73:Y73)</f>
        <v>0</v>
      </c>
      <c r="U73" s="236">
        <f t="shared" ref="U73:Y73" si="88">U64</f>
        <v>0</v>
      </c>
      <c r="V73" s="236">
        <f t="shared" si="88"/>
        <v>0</v>
      </c>
      <c r="W73" s="236">
        <f t="shared" si="88"/>
        <v>0</v>
      </c>
      <c r="X73" s="236">
        <f t="shared" si="88"/>
        <v>0</v>
      </c>
      <c r="Y73" s="239">
        <f t="shared" si="88"/>
        <v>0</v>
      </c>
      <c r="Z73" s="544">
        <f>SUM(AA73:AE73)</f>
        <v>0</v>
      </c>
      <c r="AA73" s="236">
        <f t="shared" ref="AA73:AE73" si="89">AA64</f>
        <v>0</v>
      </c>
      <c r="AB73" s="236">
        <f t="shared" si="89"/>
        <v>0</v>
      </c>
      <c r="AC73" s="236">
        <f t="shared" si="89"/>
        <v>0</v>
      </c>
      <c r="AD73" s="236">
        <f t="shared" si="89"/>
        <v>0</v>
      </c>
      <c r="AE73" s="239">
        <f t="shared" si="89"/>
        <v>0</v>
      </c>
      <c r="AF73" s="544">
        <f t="shared" ref="AF73:AK73" si="90">AF64</f>
        <v>0</v>
      </c>
      <c r="AG73" s="236">
        <f t="shared" si="90"/>
        <v>0</v>
      </c>
      <c r="AH73" s="236">
        <f t="shared" si="90"/>
        <v>0</v>
      </c>
      <c r="AI73" s="236">
        <f t="shared" si="90"/>
        <v>0</v>
      </c>
      <c r="AJ73" s="236">
        <f t="shared" si="90"/>
        <v>0</v>
      </c>
      <c r="AK73" s="239">
        <f t="shared" si="90"/>
        <v>0</v>
      </c>
      <c r="AL73" s="544">
        <f t="shared" ref="AL73:AQ73" si="91">AL64</f>
        <v>216</v>
      </c>
      <c r="AM73" s="236">
        <f t="shared" si="91"/>
        <v>0</v>
      </c>
      <c r="AN73" s="236">
        <f t="shared" si="91"/>
        <v>0</v>
      </c>
      <c r="AO73" s="236">
        <f t="shared" si="91"/>
        <v>0</v>
      </c>
      <c r="AP73" s="236">
        <f t="shared" si="91"/>
        <v>0</v>
      </c>
      <c r="AQ73" s="239">
        <f t="shared" si="91"/>
        <v>216</v>
      </c>
      <c r="AR73" s="542">
        <f t="shared" ref="AR73:AY73" si="92">AR64</f>
        <v>0</v>
      </c>
      <c r="AS73" s="236">
        <f t="shared" si="92"/>
        <v>0</v>
      </c>
      <c r="AT73" s="236">
        <f t="shared" si="92"/>
        <v>0</v>
      </c>
      <c r="AU73" s="236">
        <f t="shared" si="92"/>
        <v>0</v>
      </c>
      <c r="AV73" s="236">
        <f t="shared" si="92"/>
        <v>0</v>
      </c>
      <c r="AW73" s="236">
        <f t="shared" si="92"/>
        <v>0</v>
      </c>
      <c r="AX73" s="236">
        <f t="shared" si="92"/>
        <v>0</v>
      </c>
      <c r="AY73" s="331">
        <f t="shared" si="92"/>
        <v>0</v>
      </c>
    </row>
    <row r="74" spans="1:53" s="195" customFormat="1" hidden="1" x14ac:dyDescent="0.2">
      <c r="A74" s="68"/>
      <c r="B74" s="807" t="s">
        <v>279</v>
      </c>
      <c r="C74" s="804"/>
      <c r="D74" s="804"/>
      <c r="E74" s="804"/>
      <c r="F74" s="804"/>
      <c r="G74" s="804"/>
      <c r="H74" s="840"/>
      <c r="I74" s="397"/>
      <c r="J74" s="391"/>
      <c r="K74" s="238">
        <f t="shared" ref="K74:L74" si="93">K66</f>
        <v>0</v>
      </c>
      <c r="L74" s="325">
        <f t="shared" si="93"/>
        <v>0</v>
      </c>
      <c r="M74" s="236">
        <f>M67</f>
        <v>0</v>
      </c>
      <c r="N74" s="239">
        <f t="shared" ref="N74:R74" si="94">N66</f>
        <v>0</v>
      </c>
      <c r="O74" s="239">
        <f t="shared" si="94"/>
        <v>0</v>
      </c>
      <c r="P74" s="239">
        <f t="shared" si="94"/>
        <v>0</v>
      </c>
      <c r="Q74" s="239">
        <f t="shared" si="94"/>
        <v>0</v>
      </c>
      <c r="R74" s="239">
        <f t="shared" si="94"/>
        <v>0</v>
      </c>
      <c r="S74" s="239">
        <f>S66</f>
        <v>0</v>
      </c>
      <c r="T74" s="545">
        <f t="shared" ref="T74:Y74" si="95">T66</f>
        <v>0</v>
      </c>
      <c r="U74" s="236">
        <f t="shared" si="95"/>
        <v>0</v>
      </c>
      <c r="V74" s="236">
        <f t="shared" si="95"/>
        <v>0</v>
      </c>
      <c r="W74" s="236">
        <f t="shared" si="95"/>
        <v>0</v>
      </c>
      <c r="X74" s="236">
        <f t="shared" si="95"/>
        <v>0</v>
      </c>
      <c r="Y74" s="239">
        <f t="shared" si="95"/>
        <v>0</v>
      </c>
      <c r="Z74" s="545">
        <f t="shared" ref="Z74:AE74" si="96">Z66</f>
        <v>0</v>
      </c>
      <c r="AA74" s="236">
        <f t="shared" si="96"/>
        <v>0</v>
      </c>
      <c r="AB74" s="236">
        <f t="shared" si="96"/>
        <v>0</v>
      </c>
      <c r="AC74" s="236">
        <f t="shared" si="96"/>
        <v>0</v>
      </c>
      <c r="AD74" s="236">
        <f t="shared" si="96"/>
        <v>0</v>
      </c>
      <c r="AE74" s="239">
        <f t="shared" si="96"/>
        <v>0</v>
      </c>
      <c r="AF74" s="545">
        <f t="shared" ref="AF74:AK74" si="97">AF66</f>
        <v>0</v>
      </c>
      <c r="AG74" s="236">
        <f t="shared" si="97"/>
        <v>0</v>
      </c>
      <c r="AH74" s="236">
        <f t="shared" si="97"/>
        <v>0</v>
      </c>
      <c r="AI74" s="236">
        <f t="shared" si="97"/>
        <v>0</v>
      </c>
      <c r="AJ74" s="236">
        <f t="shared" si="97"/>
        <v>0</v>
      </c>
      <c r="AK74" s="239">
        <f t="shared" si="97"/>
        <v>0</v>
      </c>
      <c r="AL74" s="545">
        <f t="shared" ref="AL74:AQ74" si="98">AL66</f>
        <v>0</v>
      </c>
      <c r="AM74" s="236">
        <f t="shared" si="98"/>
        <v>0</v>
      </c>
      <c r="AN74" s="236">
        <f t="shared" si="98"/>
        <v>0</v>
      </c>
      <c r="AO74" s="236">
        <f t="shared" si="98"/>
        <v>0</v>
      </c>
      <c r="AP74" s="236">
        <f t="shared" si="98"/>
        <v>0</v>
      </c>
      <c r="AQ74" s="239">
        <f t="shared" si="98"/>
        <v>0</v>
      </c>
      <c r="AR74" s="543">
        <f t="shared" ref="AR74:AY74" si="99">AR66</f>
        <v>0</v>
      </c>
      <c r="AS74" s="236">
        <f t="shared" si="99"/>
        <v>0</v>
      </c>
      <c r="AT74" s="236">
        <f t="shared" si="99"/>
        <v>0</v>
      </c>
      <c r="AU74" s="236">
        <f t="shared" si="99"/>
        <v>0</v>
      </c>
      <c r="AV74" s="236">
        <f t="shared" si="99"/>
        <v>0</v>
      </c>
      <c r="AW74" s="236">
        <f t="shared" si="99"/>
        <v>0</v>
      </c>
      <c r="AX74" s="236">
        <f t="shared" si="99"/>
        <v>0</v>
      </c>
      <c r="AY74" s="331">
        <f t="shared" si="99"/>
        <v>0</v>
      </c>
      <c r="AZ74" s="240"/>
      <c r="BA74" s="240"/>
    </row>
    <row r="75" spans="1:53" x14ac:dyDescent="0.2">
      <c r="A75" s="241"/>
      <c r="B75" s="841" t="s">
        <v>216</v>
      </c>
      <c r="C75" s="842"/>
      <c r="D75" s="842"/>
      <c r="E75" s="842"/>
      <c r="F75" s="842"/>
      <c r="G75" s="842"/>
      <c r="H75" s="842"/>
      <c r="I75" s="395"/>
      <c r="J75" s="389"/>
      <c r="K75" s="242">
        <f>SUM(K71:K73)</f>
        <v>6912</v>
      </c>
      <c r="L75" s="324">
        <f>SUM(L71:L73)</f>
        <v>4464</v>
      </c>
      <c r="M75" s="243">
        <f>SUM(M71:M73)</f>
        <v>4959</v>
      </c>
      <c r="N75" s="243">
        <f t="shared" ref="N75:R75" si="100">SUM(N71:N73)</f>
        <v>1956</v>
      </c>
      <c r="O75" s="243">
        <f t="shared" si="100"/>
        <v>340</v>
      </c>
      <c r="P75" s="243">
        <f t="shared" si="100"/>
        <v>110</v>
      </c>
      <c r="Q75" s="243">
        <f t="shared" si="100"/>
        <v>30</v>
      </c>
      <c r="R75" s="243">
        <f t="shared" si="100"/>
        <v>0</v>
      </c>
      <c r="S75" s="243">
        <f>SUM(S71:S73)</f>
        <v>3003</v>
      </c>
      <c r="T75" s="544">
        <f t="shared" ref="T75:Y75" si="101">SUM(T71:T73)</f>
        <v>947</v>
      </c>
      <c r="U75" s="236">
        <f t="shared" si="101"/>
        <v>122</v>
      </c>
      <c r="V75" s="236">
        <f t="shared" si="101"/>
        <v>38</v>
      </c>
      <c r="W75" s="236">
        <f t="shared" si="101"/>
        <v>0</v>
      </c>
      <c r="X75" s="236">
        <f t="shared" si="101"/>
        <v>0</v>
      </c>
      <c r="Y75" s="236">
        <f t="shared" si="101"/>
        <v>787</v>
      </c>
      <c r="Z75" s="544">
        <f t="shared" ref="Z75:AE75" si="102">SUM(Z71:Z73)</f>
        <v>1319</v>
      </c>
      <c r="AA75" s="236">
        <f t="shared" si="102"/>
        <v>132</v>
      </c>
      <c r="AB75" s="236">
        <f t="shared" si="102"/>
        <v>28</v>
      </c>
      <c r="AC75" s="236">
        <f t="shared" si="102"/>
        <v>0</v>
      </c>
      <c r="AD75" s="236">
        <f t="shared" si="102"/>
        <v>396</v>
      </c>
      <c r="AE75" s="236">
        <f t="shared" si="102"/>
        <v>763</v>
      </c>
      <c r="AF75" s="544">
        <f t="shared" ref="AF75:AK75" si="103">SUM(AF71:AF73)</f>
        <v>2183</v>
      </c>
      <c r="AG75" s="236">
        <f t="shared" si="103"/>
        <v>106</v>
      </c>
      <c r="AH75" s="236">
        <f t="shared" si="103"/>
        <v>24</v>
      </c>
      <c r="AI75" s="236">
        <f t="shared" si="103"/>
        <v>30</v>
      </c>
      <c r="AJ75" s="236">
        <f t="shared" si="103"/>
        <v>1008</v>
      </c>
      <c r="AK75" s="236">
        <f t="shared" si="103"/>
        <v>1015</v>
      </c>
      <c r="AL75" s="544">
        <f t="shared" ref="AL75:AY75" si="104">SUM(AL71:AL73)</f>
        <v>1853</v>
      </c>
      <c r="AM75" s="236">
        <f t="shared" si="104"/>
        <v>102</v>
      </c>
      <c r="AN75" s="236">
        <f t="shared" si="104"/>
        <v>58</v>
      </c>
      <c r="AO75" s="236">
        <f t="shared" si="104"/>
        <v>0</v>
      </c>
      <c r="AP75" s="236">
        <f t="shared" si="104"/>
        <v>468</v>
      </c>
      <c r="AQ75" s="236">
        <f t="shared" si="104"/>
        <v>1225</v>
      </c>
      <c r="AR75" s="542">
        <f t="shared" si="104"/>
        <v>0</v>
      </c>
      <c r="AS75" s="236">
        <f t="shared" si="104"/>
        <v>0</v>
      </c>
      <c r="AT75" s="236">
        <f t="shared" si="104"/>
        <v>0</v>
      </c>
      <c r="AU75" s="236">
        <f t="shared" si="104"/>
        <v>0</v>
      </c>
      <c r="AV75" s="236">
        <f t="shared" si="104"/>
        <v>0</v>
      </c>
      <c r="AW75" s="236">
        <f t="shared" si="104"/>
        <v>0</v>
      </c>
      <c r="AX75" s="236">
        <f t="shared" si="104"/>
        <v>0</v>
      </c>
      <c r="AY75" s="332">
        <f t="shared" si="104"/>
        <v>0</v>
      </c>
    </row>
    <row r="76" spans="1:53" x14ac:dyDescent="0.2">
      <c r="A76" s="241"/>
      <c r="B76" s="807" t="s">
        <v>235</v>
      </c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796">
        <f>COUNTIF(M11:M14,"&gt;0")+COUNTIF(M16:M18,"&gt;0")+COUNTIF(M21:M28,"&gt;0")+COUNTIF(M32:M39,"&gt;0")+COUNTIF(M43:M45,"&gt;0")+COUNTIF(M48:M49,"&gt;0")+COUNTIF(M55:M59,"&gt;0")+COUNTIF(M52:M52,"&gt;0")</f>
        <v>33</v>
      </c>
      <c r="N76" s="797"/>
      <c r="O76" s="797"/>
      <c r="P76" s="797"/>
      <c r="Q76" s="797"/>
      <c r="R76" s="797"/>
      <c r="S76" s="798"/>
      <c r="T76" s="792">
        <f>COUNTIF(T11:T14,"&gt;0")+COUNTIF(T16:T18,"&gt;0")+COUNTIF(T21:T28,"&gt;0")+COUNTIF(T32:T39,"&gt;0")+COUNTIF(T43:T45,"&gt;0")+COUNTIF(T55:T59,"&gt;0")+COUNTIF(T52:T52,"&gt;0")+COUNTIF(T48:T49,"&gt;0")</f>
        <v>13</v>
      </c>
      <c r="U76" s="786"/>
      <c r="V76" s="786"/>
      <c r="W76" s="786"/>
      <c r="X76" s="786"/>
      <c r="Y76" s="794"/>
      <c r="Z76" s="792">
        <f>COUNTIF(Z11:Z14,"&gt;0")+COUNTIF(Z16:Z18,"&gt;0")+COUNTIF(Z21:Z28,"&gt;0")+COUNTIF(Z32:Z39,"&gt;0")+COUNTIF(Z43:Z45,"&gt;0")+COUNTIF(Z55:Z59,"&gt;0")+COUNTIF(Z52:Z52,"&gt;0")+COUNTIF(Z48:Z49,"&gt;0")</f>
        <v>11</v>
      </c>
      <c r="AA76" s="786"/>
      <c r="AB76" s="786"/>
      <c r="AC76" s="786"/>
      <c r="AD76" s="786"/>
      <c r="AE76" s="794"/>
      <c r="AF76" s="792">
        <f>COUNTIF(AF11:AF14,"&gt;0")+COUNTIF(AF16:AF18,"&gt;0")+COUNTIF(AF21:AF28,"&gt;0")+COUNTIF(AF32:AF39,"&gt;0")+COUNTIF(AF43:AF45,"&gt;0")+COUNTIF(AF55:AF59,"&gt;0")+COUNTIF(AF52:AF52,"&gt;0")+COUNTIF(AF48:AF49,"&gt;0")</f>
        <v>14</v>
      </c>
      <c r="AG76" s="786"/>
      <c r="AH76" s="786"/>
      <c r="AI76" s="786"/>
      <c r="AJ76" s="786"/>
      <c r="AK76" s="794"/>
      <c r="AL76" s="792">
        <f>COUNTIF(AL11:AL14,"&gt;0")+COUNTIF(AL16:AL18,"&gt;0")+COUNTIF(AL21:AL28,"&gt;0")+COUNTIF(AL32:AL39,"&gt;0")+COUNTIF(AL43:AL45,"&gt;0")+COUNTIF(AL55:AL59,"&gt;0")+COUNTIF(AL52:AL52,"&gt;0")+COUNTIF(AL48:AL49,"&gt;0")</f>
        <v>10</v>
      </c>
      <c r="AM76" s="786"/>
      <c r="AN76" s="786"/>
      <c r="AO76" s="786"/>
      <c r="AP76" s="786"/>
      <c r="AQ76" s="794"/>
      <c r="AR76" s="786">
        <f>COUNTIF(AR11:AR14,"&gt;0")+COUNTIF(AR16:AR18,"&gt;0")+COUNTIF(AR21:AR28,"&gt;0")+COUNTIF(AR32:AR39,"&gt;0")+COUNTIF(AR43:AR45,"&gt;0")+COUNTIF(AR55:AR59,"&gt;0")+COUNTIF(AR52:AR52,"&gt;0")+COUNTIF(AR48:AR49,"&gt;0")</f>
        <v>0</v>
      </c>
      <c r="AS76" s="786"/>
      <c r="AT76" s="786"/>
      <c r="AU76" s="786"/>
      <c r="AV76" s="786"/>
      <c r="AW76" s="786"/>
      <c r="AX76" s="786"/>
      <c r="AY76" s="808"/>
    </row>
    <row r="77" spans="1:53" x14ac:dyDescent="0.2">
      <c r="A77" s="241"/>
      <c r="B77" s="807" t="s">
        <v>83</v>
      </c>
      <c r="C77" s="804"/>
      <c r="D77" s="804"/>
      <c r="E77" s="804"/>
      <c r="F77" s="804"/>
      <c r="G77" s="804"/>
      <c r="H77" s="804"/>
      <c r="I77" s="804"/>
      <c r="J77" s="804"/>
      <c r="K77" s="804"/>
      <c r="L77" s="804"/>
      <c r="M77" s="844">
        <v>1</v>
      </c>
      <c r="N77" s="845"/>
      <c r="O77" s="845"/>
      <c r="P77" s="845"/>
      <c r="Q77" s="845"/>
      <c r="R77" s="845"/>
      <c r="S77" s="846"/>
      <c r="T77" s="831">
        <f>COUNTIF(T60,"&gt;0")+COUNTIF(T61,"&gt;0")</f>
        <v>0</v>
      </c>
      <c r="U77" s="832"/>
      <c r="V77" s="832"/>
      <c r="W77" s="832"/>
      <c r="X77" s="832"/>
      <c r="Y77" s="833"/>
      <c r="Z77" s="831">
        <v>1</v>
      </c>
      <c r="AA77" s="832"/>
      <c r="AB77" s="832"/>
      <c r="AC77" s="832"/>
      <c r="AD77" s="832"/>
      <c r="AE77" s="833"/>
      <c r="AF77" s="831">
        <f>COUNTIF(AF62:AF63,"&gt;0")</f>
        <v>1</v>
      </c>
      <c r="AG77" s="832"/>
      <c r="AH77" s="832"/>
      <c r="AI77" s="832"/>
      <c r="AJ77" s="832"/>
      <c r="AK77" s="833"/>
      <c r="AL77" s="831">
        <f>COUNTIF(AL62:AL63,"&gt;0")</f>
        <v>2</v>
      </c>
      <c r="AM77" s="832"/>
      <c r="AN77" s="832"/>
      <c r="AO77" s="832"/>
      <c r="AP77" s="832"/>
      <c r="AQ77" s="833"/>
      <c r="AR77" s="838">
        <f>COUNTIF(AR62:AR63,"&gt;0")</f>
        <v>0</v>
      </c>
      <c r="AS77" s="832"/>
      <c r="AT77" s="832"/>
      <c r="AU77" s="832"/>
      <c r="AV77" s="832"/>
      <c r="AW77" s="832"/>
      <c r="AX77" s="832"/>
      <c r="AY77" s="839"/>
    </row>
    <row r="78" spans="1:53" x14ac:dyDescent="0.2">
      <c r="A78" s="244"/>
      <c r="B78" s="807" t="s">
        <v>238</v>
      </c>
      <c r="C78" s="804"/>
      <c r="D78" s="804"/>
      <c r="E78" s="804"/>
      <c r="F78" s="804"/>
      <c r="G78" s="804"/>
      <c r="H78" s="804"/>
      <c r="I78" s="804"/>
      <c r="J78" s="804"/>
      <c r="K78" s="804"/>
      <c r="L78" s="804"/>
      <c r="M78" s="823">
        <f>N71/(AC3+AJ3+AO3+AV3)*7</f>
        <v>22.4</v>
      </c>
      <c r="N78" s="824"/>
      <c r="O78" s="824"/>
      <c r="P78" s="824"/>
      <c r="Q78" s="824"/>
      <c r="R78" s="824"/>
      <c r="S78" s="825"/>
      <c r="T78" s="818">
        <f>T71/W3</f>
        <v>31.6</v>
      </c>
      <c r="U78" s="819"/>
      <c r="V78" s="819"/>
      <c r="W78" s="819"/>
      <c r="X78" s="819"/>
      <c r="Y78" s="821"/>
      <c r="Z78" s="818">
        <f>Z71/AC3</f>
        <v>30.8</v>
      </c>
      <c r="AA78" s="819"/>
      <c r="AB78" s="819"/>
      <c r="AC78" s="819"/>
      <c r="AD78" s="819"/>
      <c r="AE78" s="821"/>
      <c r="AF78" s="826">
        <f>AF71/AJ3</f>
        <v>29.4</v>
      </c>
      <c r="AG78" s="827"/>
      <c r="AH78" s="827"/>
      <c r="AI78" s="827"/>
      <c r="AJ78" s="827"/>
      <c r="AK78" s="828"/>
      <c r="AL78" s="826">
        <f>AL71/AO3</f>
        <v>29.2</v>
      </c>
      <c r="AM78" s="827"/>
      <c r="AN78" s="827"/>
      <c r="AO78" s="827"/>
      <c r="AP78" s="827"/>
      <c r="AQ78" s="828"/>
      <c r="AR78" s="829">
        <f>AR75/AV3</f>
        <v>0</v>
      </c>
      <c r="AS78" s="827"/>
      <c r="AT78" s="827"/>
      <c r="AU78" s="827"/>
      <c r="AV78" s="827"/>
      <c r="AW78" s="827"/>
      <c r="AX78" s="827"/>
      <c r="AY78" s="830"/>
    </row>
    <row r="79" spans="1:53" x14ac:dyDescent="0.2">
      <c r="A79" s="245"/>
      <c r="B79" s="807" t="s">
        <v>233</v>
      </c>
      <c r="C79" s="804"/>
      <c r="D79" s="804"/>
      <c r="E79" s="804"/>
      <c r="F79" s="804"/>
      <c r="G79" s="804"/>
      <c r="H79" s="804"/>
      <c r="I79" s="804"/>
      <c r="J79" s="804"/>
      <c r="K79" s="804"/>
      <c r="L79" s="804"/>
      <c r="M79" s="815">
        <f>IF('Титульный лист-з'!BD29=0,0,IF(M71=0,0,M71/(AC3+AJ3+AO3+AV3)))</f>
        <v>21.8</v>
      </c>
      <c r="N79" s="816"/>
      <c r="O79" s="816"/>
      <c r="P79" s="816"/>
      <c r="Q79" s="816"/>
      <c r="R79" s="816"/>
      <c r="S79" s="817"/>
      <c r="T79" s="818">
        <f>SUM(U71:W71)/W3*6</f>
        <v>32</v>
      </c>
      <c r="U79" s="819"/>
      <c r="V79" s="820"/>
      <c r="W79" s="820"/>
      <c r="X79" s="819"/>
      <c r="Y79" s="821"/>
      <c r="Z79" s="818">
        <f>SUM(AA71:AC71)/AC3*6</f>
        <v>32</v>
      </c>
      <c r="AA79" s="819"/>
      <c r="AB79" s="820"/>
      <c r="AC79" s="820"/>
      <c r="AD79" s="819"/>
      <c r="AE79" s="821"/>
      <c r="AF79" s="818">
        <f>SUM(AG71:AH71)/AC3*6</f>
        <v>26</v>
      </c>
      <c r="AG79" s="819"/>
      <c r="AH79" s="820"/>
      <c r="AI79" s="820"/>
      <c r="AJ79" s="819"/>
      <c r="AK79" s="821"/>
      <c r="AL79" s="818">
        <f>SUM(AM71:AO71)/AC3*6</f>
        <v>32</v>
      </c>
      <c r="AM79" s="819"/>
      <c r="AN79" s="820"/>
      <c r="AO79" s="820"/>
      <c r="AP79" s="819"/>
      <c r="AQ79" s="821"/>
      <c r="AR79" s="819">
        <f>SUM(AT71:AV71)/AC3*7</f>
        <v>0</v>
      </c>
      <c r="AS79" s="819"/>
      <c r="AT79" s="819"/>
      <c r="AU79" s="820"/>
      <c r="AV79" s="820"/>
      <c r="AW79" s="819"/>
      <c r="AX79" s="819"/>
      <c r="AY79" s="822"/>
    </row>
    <row r="80" spans="1:53" x14ac:dyDescent="0.2">
      <c r="A80" s="246"/>
      <c r="B80" s="807" t="s">
        <v>232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14">
        <f>Z80+AF80+AL80+AR80</f>
        <v>9</v>
      </c>
      <c r="N80" s="814"/>
      <c r="O80" s="797" t="s">
        <v>263</v>
      </c>
      <c r="P80" s="797"/>
      <c r="Q80" s="797"/>
      <c r="R80" s="798">
        <f>AD80+AJ80+AP80+AW80</f>
        <v>9</v>
      </c>
      <c r="S80" s="814"/>
      <c r="T80" s="784">
        <f>COUNTIF($D$9:$D$59,"*2*")</f>
        <v>3</v>
      </c>
      <c r="U80" s="785"/>
      <c r="V80" s="786" t="s">
        <v>263</v>
      </c>
      <c r="W80" s="786"/>
      <c r="X80" s="787">
        <f>COUNTIF($D$9:$D$59,"*2*")</f>
        <v>3</v>
      </c>
      <c r="Y80" s="788"/>
      <c r="Z80" s="784">
        <f>COUNTIF($D$9:$D$59,"*2*")</f>
        <v>3</v>
      </c>
      <c r="AA80" s="785"/>
      <c r="AB80" s="786" t="s">
        <v>263</v>
      </c>
      <c r="AC80" s="786"/>
      <c r="AD80" s="787">
        <f>COUNTIF($D$9:$D$59,"*2*")</f>
        <v>3</v>
      </c>
      <c r="AE80" s="788"/>
      <c r="AF80" s="784">
        <f>COUNTIF($D$9:$D$59,"*3*")</f>
        <v>4</v>
      </c>
      <c r="AG80" s="785"/>
      <c r="AH80" s="786" t="s">
        <v>263</v>
      </c>
      <c r="AI80" s="786"/>
      <c r="AJ80" s="787">
        <f>COUNTIF($D$9:$D$59,"*3*")</f>
        <v>4</v>
      </c>
      <c r="AK80" s="788"/>
      <c r="AL80" s="784">
        <f>COUNTIF($D$9:$D$59,"*4*")</f>
        <v>2</v>
      </c>
      <c r="AM80" s="785"/>
      <c r="AN80" s="786" t="s">
        <v>263</v>
      </c>
      <c r="AO80" s="786"/>
      <c r="AP80" s="785">
        <f>COUNTIF($D$9:$D$59,"*4*")</f>
        <v>2</v>
      </c>
      <c r="AQ80" s="809"/>
      <c r="AR80" s="785">
        <f>COUNTIF($D$9:$D$59,"*5*")</f>
        <v>0</v>
      </c>
      <c r="AS80" s="785"/>
      <c r="AT80" s="785"/>
      <c r="AU80" s="786" t="s">
        <v>263</v>
      </c>
      <c r="AV80" s="786"/>
      <c r="AW80" s="785">
        <f>COUNTIF($D$9:$D$59,"*5*")</f>
        <v>0</v>
      </c>
      <c r="AX80" s="785"/>
      <c r="AY80" s="810"/>
      <c r="AZ80" s="53"/>
      <c r="BA80" s="53"/>
    </row>
    <row r="81" spans="1:53" x14ac:dyDescent="0.2">
      <c r="A81" s="241"/>
      <c r="B81" s="807" t="s">
        <v>231</v>
      </c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11">
        <f>Z81+AF81+AL81+AR81</f>
        <v>24</v>
      </c>
      <c r="N81" s="812"/>
      <c r="O81" s="812" t="s">
        <v>263</v>
      </c>
      <c r="P81" s="812"/>
      <c r="Q81" s="812"/>
      <c r="R81" s="812">
        <f>AD81+AJ81+AP81+AW81</f>
        <v>23</v>
      </c>
      <c r="S81" s="813"/>
      <c r="T81" s="789">
        <f>COUNTIF($E$9:$F$59,"*2*")</f>
        <v>4</v>
      </c>
      <c r="U81" s="790"/>
      <c r="V81" s="786" t="s">
        <v>263</v>
      </c>
      <c r="W81" s="786"/>
      <c r="X81" s="790">
        <f>COUNTIF($E$9:$F$59,"*2*")</f>
        <v>4</v>
      </c>
      <c r="Y81" s="791"/>
      <c r="Z81" s="789">
        <f>COUNTIF($E$9:$F$59,"*2*")</f>
        <v>4</v>
      </c>
      <c r="AA81" s="790"/>
      <c r="AB81" s="786" t="s">
        <v>263</v>
      </c>
      <c r="AC81" s="786"/>
      <c r="AD81" s="790">
        <f>COUNTIF($E$9:$F$59,"*2*")</f>
        <v>4</v>
      </c>
      <c r="AE81" s="791"/>
      <c r="AF81" s="789">
        <f>COUNTIF($E$9:$F$59,"*3*")</f>
        <v>10</v>
      </c>
      <c r="AG81" s="790"/>
      <c r="AH81" s="786" t="s">
        <v>263</v>
      </c>
      <c r="AI81" s="786"/>
      <c r="AJ81" s="790">
        <f>COUNTIF($E$9:$F$59,"*3*")</f>
        <v>10</v>
      </c>
      <c r="AK81" s="791"/>
      <c r="AL81" s="789">
        <f>COUNTIF($E$9:$F$59,"*4*")</f>
        <v>10</v>
      </c>
      <c r="AM81" s="790"/>
      <c r="AN81" s="786" t="s">
        <v>263</v>
      </c>
      <c r="AO81" s="786"/>
      <c r="AP81" s="790">
        <f>COUNTIF($E$9:$F$59,"*4*")-1</f>
        <v>9</v>
      </c>
      <c r="AQ81" s="791"/>
      <c r="AR81" s="790">
        <f>COUNTIF($E$9:$E$59,"*5*")</f>
        <v>0</v>
      </c>
      <c r="AS81" s="790"/>
      <c r="AT81" s="790"/>
      <c r="AU81" s="786" t="s">
        <v>263</v>
      </c>
      <c r="AV81" s="786"/>
      <c r="AW81" s="790">
        <f>COUNTIF($E$9:$E$59,"*5*")</f>
        <v>0</v>
      </c>
      <c r="AX81" s="790"/>
      <c r="AY81" s="806"/>
      <c r="AZ81" s="53"/>
      <c r="BA81" s="53"/>
    </row>
    <row r="82" spans="1:53" hidden="1" x14ac:dyDescent="0.2">
      <c r="A82" s="241"/>
      <c r="B82" s="807" t="s">
        <v>230</v>
      </c>
      <c r="C82" s="804"/>
      <c r="D82" s="804"/>
      <c r="E82" s="804"/>
      <c r="F82" s="804"/>
      <c r="G82" s="804"/>
      <c r="H82" s="804"/>
      <c r="I82" s="804"/>
      <c r="J82" s="804"/>
      <c r="K82" s="804"/>
      <c r="L82" s="804"/>
      <c r="M82" s="796"/>
      <c r="N82" s="797"/>
      <c r="O82" s="797"/>
      <c r="P82" s="797"/>
      <c r="Q82" s="797"/>
      <c r="R82" s="797"/>
      <c r="S82" s="798"/>
      <c r="T82" s="792" t="e">
        <f>COUNTIF(#REF!,"*2*")</f>
        <v>#REF!</v>
      </c>
      <c r="U82" s="786"/>
      <c r="V82" s="793"/>
      <c r="W82" s="793"/>
      <c r="X82" s="786"/>
      <c r="Y82" s="794"/>
      <c r="Z82" s="792" t="e">
        <f>COUNTIF(#REF!,"*2*")</f>
        <v>#REF!</v>
      </c>
      <c r="AA82" s="786"/>
      <c r="AB82" s="793"/>
      <c r="AC82" s="793"/>
      <c r="AD82" s="786"/>
      <c r="AE82" s="794"/>
      <c r="AF82" s="792" t="e">
        <f>COUNTIF(#REF!,"*3*")</f>
        <v>#REF!</v>
      </c>
      <c r="AG82" s="786"/>
      <c r="AH82" s="793"/>
      <c r="AI82" s="793"/>
      <c r="AJ82" s="786"/>
      <c r="AK82" s="794"/>
      <c r="AL82" s="792" t="e">
        <f>COUNTIF(#REF!,"*4*")</f>
        <v>#REF!</v>
      </c>
      <c r="AM82" s="786"/>
      <c r="AN82" s="793"/>
      <c r="AO82" s="793"/>
      <c r="AP82" s="786"/>
      <c r="AQ82" s="794"/>
      <c r="AR82" s="786" t="e">
        <f>COUNTIF(#REF!,"*5*")</f>
        <v>#REF!</v>
      </c>
      <c r="AS82" s="786"/>
      <c r="AT82" s="786"/>
      <c r="AU82" s="793"/>
      <c r="AV82" s="793"/>
      <c r="AW82" s="786"/>
      <c r="AX82" s="786"/>
      <c r="AY82" s="808"/>
      <c r="AZ82" s="53"/>
      <c r="BA82" s="53"/>
    </row>
    <row r="83" spans="1:53" x14ac:dyDescent="0.2">
      <c r="A83" s="241"/>
      <c r="B83" s="803" t="s">
        <v>578</v>
      </c>
      <c r="C83" s="804"/>
      <c r="D83" s="804"/>
      <c r="E83" s="804"/>
      <c r="F83" s="804"/>
      <c r="G83" s="804"/>
      <c r="H83" s="804"/>
      <c r="I83" s="804"/>
      <c r="J83" s="804"/>
      <c r="K83" s="804"/>
      <c r="L83" s="804"/>
      <c r="M83" s="796">
        <f>Z83+AF83+AL83+AR83</f>
        <v>2</v>
      </c>
      <c r="N83" s="797"/>
      <c r="O83" s="797"/>
      <c r="P83" s="797"/>
      <c r="Q83" s="797"/>
      <c r="R83" s="797"/>
      <c r="S83" s="798"/>
      <c r="T83" s="795">
        <f>COUNTIF($G$9:$G$59,"*2*")</f>
        <v>0</v>
      </c>
      <c r="U83" s="787"/>
      <c r="V83" s="787"/>
      <c r="W83" s="787"/>
      <c r="X83" s="787"/>
      <c r="Y83" s="788"/>
      <c r="Z83" s="795">
        <f>COUNTIF($G$9:$G$59,"*2*")</f>
        <v>0</v>
      </c>
      <c r="AA83" s="787"/>
      <c r="AB83" s="787"/>
      <c r="AC83" s="787"/>
      <c r="AD83" s="787"/>
      <c r="AE83" s="788"/>
      <c r="AF83" s="795">
        <f>COUNTIF($G$9:$G$59,"*3*")</f>
        <v>1</v>
      </c>
      <c r="AG83" s="787"/>
      <c r="AH83" s="787"/>
      <c r="AI83" s="787"/>
      <c r="AJ83" s="787"/>
      <c r="AK83" s="788"/>
      <c r="AL83" s="795">
        <f>COUNTIF($G$9:$G$59,"*4*")</f>
        <v>1</v>
      </c>
      <c r="AM83" s="787"/>
      <c r="AN83" s="787"/>
      <c r="AO83" s="787"/>
      <c r="AP83" s="787"/>
      <c r="AQ83" s="788"/>
      <c r="AR83" s="787">
        <f>COUNTIF($G$9:$G$59,"*5*")</f>
        <v>0</v>
      </c>
      <c r="AS83" s="787"/>
      <c r="AT83" s="787"/>
      <c r="AU83" s="787"/>
      <c r="AV83" s="787"/>
      <c r="AW83" s="787"/>
      <c r="AX83" s="787"/>
      <c r="AY83" s="805"/>
      <c r="AZ83" s="53"/>
      <c r="BA83" s="53"/>
    </row>
    <row r="84" spans="1:53" ht="13.5" thickBot="1" x14ac:dyDescent="0.25">
      <c r="A84" s="247"/>
      <c r="B84" s="803" t="s">
        <v>572</v>
      </c>
      <c r="C84" s="804"/>
      <c r="D84" s="804"/>
      <c r="E84" s="804"/>
      <c r="F84" s="804"/>
      <c r="G84" s="804"/>
      <c r="H84" s="804"/>
      <c r="I84" s="804"/>
      <c r="J84" s="804"/>
      <c r="K84" s="804"/>
      <c r="L84" s="804"/>
      <c r="M84" s="796">
        <f>Z84+AF84+AL84+AR84</f>
        <v>0</v>
      </c>
      <c r="N84" s="797"/>
      <c r="O84" s="797"/>
      <c r="P84" s="797"/>
      <c r="Q84" s="797"/>
      <c r="R84" s="797"/>
      <c r="S84" s="798"/>
      <c r="T84" s="795">
        <f>COUNTIF($H$9:$H$59,"*2*")</f>
        <v>0</v>
      </c>
      <c r="U84" s="787"/>
      <c r="V84" s="787"/>
      <c r="W84" s="787"/>
      <c r="X84" s="787"/>
      <c r="Y84" s="788"/>
      <c r="Z84" s="795">
        <f>COUNTIF($H$9:$H$59,"*2*")</f>
        <v>0</v>
      </c>
      <c r="AA84" s="787"/>
      <c r="AB84" s="787"/>
      <c r="AC84" s="787"/>
      <c r="AD84" s="787"/>
      <c r="AE84" s="788"/>
      <c r="AF84" s="795">
        <f>COUNTIF($H$9:$H$59,"*3*")</f>
        <v>0</v>
      </c>
      <c r="AG84" s="787"/>
      <c r="AH84" s="787"/>
      <c r="AI84" s="787"/>
      <c r="AJ84" s="787"/>
      <c r="AK84" s="788"/>
      <c r="AL84" s="795">
        <f>COUNTIF($H$9:$H$59,"*4*")</f>
        <v>0</v>
      </c>
      <c r="AM84" s="787"/>
      <c r="AN84" s="787"/>
      <c r="AO84" s="787"/>
      <c r="AP84" s="787"/>
      <c r="AQ84" s="788"/>
      <c r="AR84" s="799">
        <f>COUNTIF($H$9:$H$59,"*5*")</f>
        <v>0</v>
      </c>
      <c r="AS84" s="799"/>
      <c r="AT84" s="799"/>
      <c r="AU84" s="799"/>
      <c r="AV84" s="799"/>
      <c r="AW84" s="799"/>
      <c r="AX84" s="799"/>
      <c r="AY84" s="800"/>
      <c r="AZ84" s="53"/>
      <c r="BA84" s="53"/>
    </row>
    <row r="85" spans="1:53" x14ac:dyDescent="0.2">
      <c r="AY85" s="328"/>
      <c r="AZ85" s="53"/>
      <c r="BA85" s="53"/>
    </row>
    <row r="87" spans="1:53" hidden="1" x14ac:dyDescent="0.2">
      <c r="A87" s="801" t="s">
        <v>261</v>
      </c>
      <c r="B87" s="801"/>
      <c r="C87" s="802" t="s">
        <v>262</v>
      </c>
      <c r="D87" s="802"/>
      <c r="E87" s="802" t="s">
        <v>283</v>
      </c>
      <c r="F87" s="802"/>
      <c r="AZ87" s="53"/>
      <c r="BA87" s="53"/>
    </row>
    <row r="88" spans="1:53" hidden="1" x14ac:dyDescent="0.2">
      <c r="A88" s="71">
        <v>1</v>
      </c>
      <c r="B88" s="71">
        <v>11</v>
      </c>
      <c r="C88" s="72">
        <v>2</v>
      </c>
      <c r="D88" s="73" t="s">
        <v>40</v>
      </c>
      <c r="E88" s="72">
        <v>2</v>
      </c>
      <c r="F88" s="72"/>
      <c r="AZ88" s="53"/>
      <c r="BA88" s="53"/>
    </row>
    <row r="89" spans="1:53" ht="63.75" hidden="1" x14ac:dyDescent="0.2">
      <c r="A89" s="71" t="s">
        <v>239</v>
      </c>
      <c r="B89" s="71" t="s">
        <v>144</v>
      </c>
      <c r="C89" s="71" t="s">
        <v>7</v>
      </c>
      <c r="D89" s="74" t="s">
        <v>264</v>
      </c>
      <c r="E89" s="71" t="s">
        <v>7</v>
      </c>
      <c r="F89" s="71"/>
      <c r="AZ89" s="53"/>
      <c r="BA89" s="53"/>
    </row>
    <row r="90" spans="1:53" hidden="1" x14ac:dyDescent="0.2">
      <c r="A90" s="71">
        <v>1</v>
      </c>
      <c r="B90" s="71">
        <v>21</v>
      </c>
      <c r="C90" s="72">
        <v>2</v>
      </c>
      <c r="D90" s="73" t="s">
        <v>40</v>
      </c>
      <c r="E90" s="72">
        <v>2</v>
      </c>
      <c r="F90" s="72"/>
      <c r="AZ90" s="53"/>
      <c r="BA90" s="53"/>
    </row>
    <row r="91" spans="1:53" ht="63.75" hidden="1" x14ac:dyDescent="0.2">
      <c r="A91" s="71" t="s">
        <v>239</v>
      </c>
      <c r="B91" s="71" t="s">
        <v>144</v>
      </c>
      <c r="C91" s="71" t="s">
        <v>7</v>
      </c>
      <c r="D91" s="74" t="s">
        <v>265</v>
      </c>
      <c r="E91" s="71" t="s">
        <v>7</v>
      </c>
      <c r="F91" s="71"/>
      <c r="AZ91" s="53"/>
      <c r="BA91" s="53"/>
    </row>
    <row r="92" spans="1:53" hidden="1" x14ac:dyDescent="0.2">
      <c r="A92" s="71">
        <v>1</v>
      </c>
      <c r="B92" s="71">
        <v>30</v>
      </c>
      <c r="C92" s="72">
        <v>2</v>
      </c>
      <c r="D92" s="73" t="s">
        <v>40</v>
      </c>
      <c r="E92" s="72">
        <v>2</v>
      </c>
      <c r="F92" s="72"/>
      <c r="AZ92" s="53"/>
      <c r="BA92" s="53"/>
    </row>
    <row r="93" spans="1:53" ht="63.75" hidden="1" x14ac:dyDescent="0.2">
      <c r="A93" s="71" t="s">
        <v>239</v>
      </c>
      <c r="B93" s="71" t="s">
        <v>144</v>
      </c>
      <c r="C93" s="71" t="s">
        <v>7</v>
      </c>
      <c r="D93" s="74" t="s">
        <v>266</v>
      </c>
      <c r="E93" s="71" t="s">
        <v>7</v>
      </c>
      <c r="F93" s="71"/>
      <c r="AZ93" s="53"/>
      <c r="BA93" s="53"/>
    </row>
    <row r="94" spans="1:53" hidden="1" x14ac:dyDescent="0.2">
      <c r="A94" s="71">
        <v>1</v>
      </c>
      <c r="B94" s="71">
        <v>39</v>
      </c>
      <c r="C94" s="72">
        <v>2</v>
      </c>
      <c r="D94" s="73" t="s">
        <v>40</v>
      </c>
      <c r="E94" s="72">
        <v>2</v>
      </c>
      <c r="F94" s="72"/>
      <c r="AZ94" s="53"/>
      <c r="BA94" s="53"/>
    </row>
    <row r="95" spans="1:53" ht="63.75" hidden="1" x14ac:dyDescent="0.2">
      <c r="A95" s="71" t="s">
        <v>239</v>
      </c>
      <c r="B95" s="71" t="s">
        <v>144</v>
      </c>
      <c r="C95" s="71" t="s">
        <v>7</v>
      </c>
      <c r="D95" s="74" t="s">
        <v>267</v>
      </c>
      <c r="E95" s="71" t="s">
        <v>7</v>
      </c>
      <c r="F95" s="71"/>
      <c r="AZ95" s="53"/>
      <c r="BA95" s="53"/>
    </row>
    <row r="96" spans="1:53" hidden="1" x14ac:dyDescent="0.2">
      <c r="A96" s="71">
        <v>1</v>
      </c>
      <c r="B96" s="71">
        <v>48</v>
      </c>
      <c r="C96" s="72">
        <v>2</v>
      </c>
      <c r="D96" s="73" t="s">
        <v>40</v>
      </c>
      <c r="E96" s="72">
        <v>2</v>
      </c>
      <c r="F96" s="72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</row>
    <row r="97" spans="1:53" ht="63.75" hidden="1" x14ac:dyDescent="0.2">
      <c r="A97" s="71" t="s">
        <v>239</v>
      </c>
      <c r="B97" s="71" t="s">
        <v>144</v>
      </c>
      <c r="C97" s="71" t="s">
        <v>7</v>
      </c>
      <c r="D97" s="74" t="s">
        <v>268</v>
      </c>
      <c r="E97" s="71" t="s">
        <v>7</v>
      </c>
      <c r="F97" s="71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</row>
    <row r="98" spans="1:53" hidden="1" x14ac:dyDescent="0.2">
      <c r="A98" s="71">
        <v>1</v>
      </c>
      <c r="B98" s="71">
        <v>57</v>
      </c>
      <c r="C98" s="72">
        <v>2</v>
      </c>
      <c r="D98" s="73" t="s">
        <v>40</v>
      </c>
      <c r="E98" s="72">
        <v>2</v>
      </c>
      <c r="F98" s="72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</row>
    <row r="99" spans="1:53" ht="63.75" hidden="1" x14ac:dyDescent="0.2">
      <c r="A99" s="71" t="s">
        <v>239</v>
      </c>
      <c r="B99" s="71" t="s">
        <v>144</v>
      </c>
      <c r="C99" s="71" t="s">
        <v>7</v>
      </c>
      <c r="D99" s="74" t="s">
        <v>269</v>
      </c>
      <c r="E99" s="71" t="s">
        <v>7</v>
      </c>
      <c r="F99" s="71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</row>
    <row r="100" spans="1:53" hidden="1" x14ac:dyDescent="0.2">
      <c r="A100" s="71">
        <v>1</v>
      </c>
      <c r="B100" s="71">
        <v>66</v>
      </c>
      <c r="C100" s="72">
        <v>2</v>
      </c>
      <c r="D100" s="73" t="s">
        <v>40</v>
      </c>
      <c r="E100" s="72">
        <v>2</v>
      </c>
      <c r="F100" s="7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</row>
    <row r="101" spans="1:53" ht="63.75" hidden="1" x14ac:dyDescent="0.2">
      <c r="A101" s="71" t="s">
        <v>239</v>
      </c>
      <c r="B101" s="71" t="s">
        <v>144</v>
      </c>
      <c r="C101" s="71" t="s">
        <v>7</v>
      </c>
      <c r="D101" s="74" t="s">
        <v>270</v>
      </c>
      <c r="E101" s="71" t="s">
        <v>7</v>
      </c>
      <c r="F101" s="71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</row>
    <row r="102" spans="1:53" hidden="1" x14ac:dyDescent="0.2">
      <c r="A102" s="71">
        <v>1</v>
      </c>
      <c r="B102" s="71">
        <v>75</v>
      </c>
      <c r="C102" s="72">
        <v>2</v>
      </c>
      <c r="D102" s="73" t="s">
        <v>40</v>
      </c>
      <c r="E102" s="72">
        <v>2</v>
      </c>
      <c r="F102" s="72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</row>
    <row r="103" spans="1:53" ht="63.75" hidden="1" x14ac:dyDescent="0.2">
      <c r="A103" s="71" t="s">
        <v>239</v>
      </c>
      <c r="B103" s="71" t="s">
        <v>144</v>
      </c>
      <c r="C103" s="71" t="s">
        <v>7</v>
      </c>
      <c r="D103" s="74" t="s">
        <v>271</v>
      </c>
      <c r="E103" s="71" t="s">
        <v>7</v>
      </c>
      <c r="F103" s="71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</row>
    <row r="104" spans="1:53" hidden="1" x14ac:dyDescent="0.2">
      <c r="A104" s="71">
        <v>1</v>
      </c>
      <c r="B104" s="71">
        <v>84</v>
      </c>
      <c r="C104" s="72">
        <v>2</v>
      </c>
      <c r="D104" s="73" t="s">
        <v>40</v>
      </c>
      <c r="E104" s="72">
        <v>2</v>
      </c>
      <c r="F104" s="72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</row>
    <row r="105" spans="1:53" ht="63.75" hidden="1" x14ac:dyDescent="0.2">
      <c r="A105" s="71" t="s">
        <v>239</v>
      </c>
      <c r="B105" s="71" t="s">
        <v>144</v>
      </c>
      <c r="C105" s="71" t="s">
        <v>7</v>
      </c>
      <c r="D105" s="74" t="s">
        <v>272</v>
      </c>
      <c r="E105" s="71" t="s">
        <v>7</v>
      </c>
      <c r="F105" s="71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</row>
    <row r="106" spans="1:53" hidden="1" x14ac:dyDescent="0.2">
      <c r="A106" s="71">
        <v>1</v>
      </c>
      <c r="B106" s="71">
        <v>93</v>
      </c>
      <c r="C106" s="72">
        <v>2</v>
      </c>
      <c r="D106" s="73" t="s">
        <v>40</v>
      </c>
      <c r="E106" s="72">
        <v>2</v>
      </c>
      <c r="F106" s="7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</row>
    <row r="107" spans="1:53" ht="63.75" hidden="1" x14ac:dyDescent="0.2">
      <c r="A107" s="71" t="s">
        <v>239</v>
      </c>
      <c r="B107" s="71" t="s">
        <v>144</v>
      </c>
      <c r="C107" s="71" t="s">
        <v>7</v>
      </c>
      <c r="D107" s="74" t="s">
        <v>273</v>
      </c>
      <c r="E107" s="71" t="s">
        <v>7</v>
      </c>
      <c r="F107" s="71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</row>
    <row r="108" spans="1:53" hidden="1" x14ac:dyDescent="0.2">
      <c r="A108" s="71">
        <v>1</v>
      </c>
      <c r="B108" s="71">
        <v>102</v>
      </c>
      <c r="C108" s="69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</row>
    <row r="109" spans="1:53" hidden="1" x14ac:dyDescent="0.2">
      <c r="A109" s="71" t="s">
        <v>239</v>
      </c>
      <c r="B109" s="71" t="s">
        <v>144</v>
      </c>
      <c r="C109" s="69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</row>
    <row r="110" spans="1:53" hidden="1" x14ac:dyDescent="0.2"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</row>
  </sheetData>
  <sheetProtection password="CC6B" sheet="1" objects="1" scenarios="1" selectLockedCells="1" sort="0" autoFilter="0" selectUnlockedCells="1"/>
  <autoFilter ref="A8:BL8"/>
  <mergeCells count="162">
    <mergeCell ref="T6:V6"/>
    <mergeCell ref="T2:Y2"/>
    <mergeCell ref="S3:S7"/>
    <mergeCell ref="M2:M7"/>
    <mergeCell ref="N2:S2"/>
    <mergeCell ref="AR3:AT3"/>
    <mergeCell ref="AJ4:AK4"/>
    <mergeCell ref="T3:U3"/>
    <mergeCell ref="T4:U4"/>
    <mergeCell ref="W4:X4"/>
    <mergeCell ref="AS5:AT5"/>
    <mergeCell ref="AL2:AQ2"/>
    <mergeCell ref="AR2:AY2"/>
    <mergeCell ref="Z3:AA3"/>
    <mergeCell ref="AF3:AG3"/>
    <mergeCell ref="AL3:AM3"/>
    <mergeCell ref="AF5:AG5"/>
    <mergeCell ref="AF6:AH6"/>
    <mergeCell ref="Z5:AA5"/>
    <mergeCell ref="Z6:AB6"/>
    <mergeCell ref="AZ1:AZ7"/>
    <mergeCell ref="BA1:BA7"/>
    <mergeCell ref="Z2:AE2"/>
    <mergeCell ref="AF2:AK2"/>
    <mergeCell ref="B84:L84"/>
    <mergeCell ref="A69:C69"/>
    <mergeCell ref="B9:C9"/>
    <mergeCell ref="B10:C10"/>
    <mergeCell ref="AS6:AW6"/>
    <mergeCell ref="AV4:AX4"/>
    <mergeCell ref="Z4:AA4"/>
    <mergeCell ref="AC4:AD4"/>
    <mergeCell ref="AF4:AG4"/>
    <mergeCell ref="AL4:AM4"/>
    <mergeCell ref="AO4:AP4"/>
    <mergeCell ref="AR4:AT4"/>
    <mergeCell ref="A1:A7"/>
    <mergeCell ref="A70:C70"/>
    <mergeCell ref="B71:H71"/>
    <mergeCell ref="B72:H72"/>
    <mergeCell ref="B73:H73"/>
    <mergeCell ref="B1:B7"/>
    <mergeCell ref="C1:C7"/>
    <mergeCell ref="D1:H2"/>
    <mergeCell ref="B30:G30"/>
    <mergeCell ref="B15:H15"/>
    <mergeCell ref="B41:H41"/>
    <mergeCell ref="B51:H51"/>
    <mergeCell ref="B46:H46"/>
    <mergeCell ref="B77:L77"/>
    <mergeCell ref="M77:S77"/>
    <mergeCell ref="T1:AY1"/>
    <mergeCell ref="AL5:AM5"/>
    <mergeCell ref="AL6:AN6"/>
    <mergeCell ref="K1:L6"/>
    <mergeCell ref="M1:S1"/>
    <mergeCell ref="O4:O7"/>
    <mergeCell ref="P4:P7"/>
    <mergeCell ref="Q4:Q7"/>
    <mergeCell ref="R4:R7"/>
    <mergeCell ref="D3:D7"/>
    <mergeCell ref="E3:E7"/>
    <mergeCell ref="G3:G7"/>
    <mergeCell ref="H3:H7"/>
    <mergeCell ref="N3:N7"/>
    <mergeCell ref="O3:R3"/>
    <mergeCell ref="J1:J7"/>
    <mergeCell ref="T5:U5"/>
    <mergeCell ref="Z77:AE77"/>
    <mergeCell ref="AF77:AK77"/>
    <mergeCell ref="AL77:AQ77"/>
    <mergeCell ref="B64:H64"/>
    <mergeCell ref="B42:H42"/>
    <mergeCell ref="B47:H47"/>
    <mergeCell ref="B31:G31"/>
    <mergeCell ref="B54:H54"/>
    <mergeCell ref="AR77:AY77"/>
    <mergeCell ref="B76:L76"/>
    <mergeCell ref="M76:S76"/>
    <mergeCell ref="Z76:AE76"/>
    <mergeCell ref="AF76:AK76"/>
    <mergeCell ref="AL76:AQ76"/>
    <mergeCell ref="AR76:AY76"/>
    <mergeCell ref="T76:Y76"/>
    <mergeCell ref="T77:Y77"/>
    <mergeCell ref="B74:H74"/>
    <mergeCell ref="B75:H75"/>
    <mergeCell ref="B79:L79"/>
    <mergeCell ref="M79:S79"/>
    <mergeCell ref="Z79:AE79"/>
    <mergeCell ref="AF79:AK79"/>
    <mergeCell ref="AL79:AQ79"/>
    <mergeCell ref="AR79:AY79"/>
    <mergeCell ref="B78:L78"/>
    <mergeCell ref="M78:S78"/>
    <mergeCell ref="Z78:AE78"/>
    <mergeCell ref="AF78:AK78"/>
    <mergeCell ref="AL78:AQ78"/>
    <mergeCell ref="AR78:AY78"/>
    <mergeCell ref="T78:Y78"/>
    <mergeCell ref="T79:Y79"/>
    <mergeCell ref="AP80:AQ80"/>
    <mergeCell ref="AR80:AT80"/>
    <mergeCell ref="AU80:AV80"/>
    <mergeCell ref="AW80:AY80"/>
    <mergeCell ref="B81:L81"/>
    <mergeCell ref="M81:N81"/>
    <mergeCell ref="O81:Q81"/>
    <mergeCell ref="R81:S81"/>
    <mergeCell ref="Z81:AA81"/>
    <mergeCell ref="AB81:AC81"/>
    <mergeCell ref="AD80:AE80"/>
    <mergeCell ref="AF80:AG80"/>
    <mergeCell ref="AH80:AI80"/>
    <mergeCell ref="AJ80:AK80"/>
    <mergeCell ref="AL80:AM80"/>
    <mergeCell ref="AN80:AO80"/>
    <mergeCell ref="B80:L80"/>
    <mergeCell ref="M80:N80"/>
    <mergeCell ref="O80:Q80"/>
    <mergeCell ref="R80:S80"/>
    <mergeCell ref="Z80:AA80"/>
    <mergeCell ref="AB80:AC80"/>
    <mergeCell ref="AP81:AQ81"/>
    <mergeCell ref="AR81:AT81"/>
    <mergeCell ref="AU81:AV81"/>
    <mergeCell ref="AW81:AY81"/>
    <mergeCell ref="B82:L82"/>
    <mergeCell ref="M82:S82"/>
    <mergeCell ref="Z82:AE82"/>
    <mergeCell ref="AF82:AK82"/>
    <mergeCell ref="AL82:AQ82"/>
    <mergeCell ref="AR82:AY82"/>
    <mergeCell ref="AD81:AE81"/>
    <mergeCell ref="AF81:AG81"/>
    <mergeCell ref="AH81:AI81"/>
    <mergeCell ref="AJ81:AK81"/>
    <mergeCell ref="AL81:AM81"/>
    <mergeCell ref="AN81:AO81"/>
    <mergeCell ref="M84:S84"/>
    <mergeCell ref="Z84:AE84"/>
    <mergeCell ref="AF84:AK84"/>
    <mergeCell ref="AL84:AQ84"/>
    <mergeCell ref="AR84:AY84"/>
    <mergeCell ref="A87:B87"/>
    <mergeCell ref="C87:D87"/>
    <mergeCell ref="E87:F87"/>
    <mergeCell ref="B83:L83"/>
    <mergeCell ref="M83:S83"/>
    <mergeCell ref="Z83:AE83"/>
    <mergeCell ref="AF83:AK83"/>
    <mergeCell ref="AL83:AQ83"/>
    <mergeCell ref="AR83:AY83"/>
    <mergeCell ref="T80:U80"/>
    <mergeCell ref="V80:W80"/>
    <mergeCell ref="X80:Y80"/>
    <mergeCell ref="T81:U81"/>
    <mergeCell ref="V81:W81"/>
    <mergeCell ref="X81:Y81"/>
    <mergeCell ref="T82:Y82"/>
    <mergeCell ref="T83:Y83"/>
    <mergeCell ref="T84:Y8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00"/>
  <sheetViews>
    <sheetView view="pageBreakPreview" zoomScale="85" zoomScaleSheetLayoutView="85" workbookViewId="0">
      <selection activeCell="K12" sqref="K12"/>
    </sheetView>
  </sheetViews>
  <sheetFormatPr defaultRowHeight="12.75" x14ac:dyDescent="0.2"/>
  <cols>
    <col min="1" max="1" width="58.1640625" style="90" customWidth="1"/>
    <col min="2" max="3" width="12.6640625" style="90" customWidth="1"/>
    <col min="4" max="4" width="14.6640625" style="90" customWidth="1"/>
    <col min="5" max="5" width="16.1640625" style="90" customWidth="1"/>
    <col min="6" max="6" width="16.33203125" style="90" customWidth="1"/>
    <col min="7" max="7" width="15.5" style="90" customWidth="1"/>
    <col min="8" max="9" width="28.5" style="90" customWidth="1"/>
    <col min="10" max="16384" width="9.33203125" style="90"/>
  </cols>
  <sheetData>
    <row r="1" spans="1:9" s="75" customFormat="1" x14ac:dyDescent="0.2">
      <c r="A1" s="928" t="s">
        <v>101</v>
      </c>
      <c r="B1" s="928"/>
      <c r="C1" s="928"/>
      <c r="D1" s="928"/>
      <c r="E1" s="928"/>
      <c r="F1" s="928"/>
      <c r="G1" s="928"/>
      <c r="H1" s="928"/>
      <c r="I1" s="928"/>
    </row>
    <row r="2" spans="1:9" s="75" customFormat="1" ht="24.75" customHeight="1" x14ac:dyDescent="0.2">
      <c r="A2" s="932" t="s">
        <v>96</v>
      </c>
      <c r="B2" s="933"/>
      <c r="C2" s="934"/>
      <c r="D2" s="925" t="s">
        <v>100</v>
      </c>
      <c r="E2" s="927"/>
      <c r="F2" s="929" t="s">
        <v>102</v>
      </c>
      <c r="G2" s="929"/>
      <c r="H2" s="930" t="s">
        <v>141</v>
      </c>
      <c r="I2" s="931"/>
    </row>
    <row r="3" spans="1:9" s="75" customFormat="1" ht="76.5" x14ac:dyDescent="0.2">
      <c r="A3" s="935"/>
      <c r="B3" s="936"/>
      <c r="C3" s="937"/>
      <c r="D3" s="18" t="s">
        <v>168</v>
      </c>
      <c r="E3" s="18" t="s">
        <v>237</v>
      </c>
      <c r="F3" s="18" t="s">
        <v>168</v>
      </c>
      <c r="G3" s="18" t="s">
        <v>237</v>
      </c>
      <c r="H3" s="18" t="s">
        <v>168</v>
      </c>
      <c r="I3" s="18" t="s">
        <v>237</v>
      </c>
    </row>
    <row r="4" spans="1:9" s="75" customFormat="1" hidden="1" x14ac:dyDescent="0.2">
      <c r="A4" s="48"/>
      <c r="B4" s="15"/>
      <c r="C4" s="15"/>
      <c r="D4" s="15"/>
      <c r="E4" s="15"/>
      <c r="F4" s="15"/>
      <c r="G4" s="15"/>
      <c r="H4" s="15"/>
      <c r="I4" s="16"/>
    </row>
    <row r="5" spans="1:9" s="75" customFormat="1" ht="15.75" hidden="1" x14ac:dyDescent="0.2">
      <c r="A5" s="938"/>
      <c r="B5" s="939"/>
      <c r="C5" s="939"/>
      <c r="D5" s="939"/>
      <c r="E5" s="17"/>
      <c r="F5" s="17"/>
      <c r="G5" s="17"/>
      <c r="H5" s="19"/>
      <c r="I5" s="20"/>
    </row>
    <row r="6" spans="1:9" s="75" customFormat="1" x14ac:dyDescent="0.2">
      <c r="A6" s="903" t="s">
        <v>545</v>
      </c>
      <c r="B6" s="904"/>
      <c r="C6" s="905"/>
      <c r="D6" s="76">
        <f>G34*G38</f>
        <v>2106</v>
      </c>
      <c r="E6" s="39">
        <v>1404</v>
      </c>
      <c r="F6" s="34">
        <f>'Учебный план'!K10</f>
        <v>2106</v>
      </c>
      <c r="G6" s="34">
        <f>'Учебный план'!L10</f>
        <v>1404</v>
      </c>
      <c r="H6" s="36" t="str">
        <f>IF(OR(D6="",E6=""),"введите данные ФГОС",IF('Учебный план'!K97=0,"заполняйте учебный план",IF(OR(D6="-",D6=F6),"норма",IF(F6&lt;D6,F6-D6,IF(F6&gt;D6,F6-D6,"норма")))))</f>
        <v>норма</v>
      </c>
      <c r="I6" s="36" t="str">
        <f>IF(OR(D6="",E6=""),"введите данные ФГОС",IF('Учебный план'!K97=0,"заполняйте учебный план",IF(OR(E6="-",E6=G6),"норма",IF(G6&lt;E6,G6-E6,IF(G6&gt;E6,G6-E6,"норма")))))</f>
        <v>норма</v>
      </c>
    </row>
    <row r="7" spans="1:9" s="75" customFormat="1" x14ac:dyDescent="0.2">
      <c r="A7" s="903" t="s">
        <v>255</v>
      </c>
      <c r="B7" s="904"/>
      <c r="C7" s="905"/>
      <c r="D7" s="76" t="s">
        <v>22</v>
      </c>
      <c r="E7" s="192" t="s">
        <v>22</v>
      </c>
      <c r="F7" s="34">
        <f>'Учебный план'!K11</f>
        <v>1314</v>
      </c>
      <c r="G7" s="34">
        <f>'Учебный план'!L11</f>
        <v>876</v>
      </c>
      <c r="H7" s="36" t="str">
        <f>IF(OR(D7="",E7=""),"введите данные ФГОС",IF('Учебный план'!K97=0,"заполняйте учебный план",IF(OR(D7="-",D7=F7),"норма",IF(F7&lt;D7,F7-D7,IF(F7&gt;D7,F7-D7,"норма")))))</f>
        <v>норма</v>
      </c>
      <c r="I7" s="36" t="str">
        <f>IF(OR(D7="",E7=""),"введите данные ФГОС",IF('Учебный план'!K97=0,"заполняйте учебный план",IF(OR(E7="-",E7=G7),"норма",IF(G7&lt;E7,G7-E7,IF(G7&gt;E7,G7-E7,"норма")))))</f>
        <v>норма</v>
      </c>
    </row>
    <row r="8" spans="1:9" s="75" customFormat="1" x14ac:dyDescent="0.2">
      <c r="A8" s="906" t="s">
        <v>254</v>
      </c>
      <c r="B8" s="904"/>
      <c r="C8" s="905"/>
      <c r="D8" s="76" t="s">
        <v>22</v>
      </c>
      <c r="E8" s="192" t="s">
        <v>22</v>
      </c>
      <c r="F8" s="34">
        <f>'Учебный план'!K19</f>
        <v>792</v>
      </c>
      <c r="G8" s="34">
        <f>'Учебный план'!L19</f>
        <v>528</v>
      </c>
      <c r="H8" s="36" t="str">
        <f>IF(OR(D8="",E8=""),"введите данные ФГОС",IF('Учебный план'!K97=0,"заполняйте учебный план",IF(OR(D8="-",D8=F8),"норма",IF(F8&lt;D8,F8-D8,IF(F8&gt;D8,F8-D8,"норма")))))</f>
        <v>норма</v>
      </c>
      <c r="I8" s="36" t="str">
        <f>IF(OR(D8="",E8=""),"введите данные ФГОС",IF('Учебный план'!K97=0,"заполняйте учебный план",IF(OR(E8="-",E8=G8),"норма",IF(G8&lt;E8,G8-E8,IF(G8&gt;E8,G8-E8,"норма")))))</f>
        <v>норма</v>
      </c>
    </row>
    <row r="9" spans="1:9" s="75" customFormat="1" x14ac:dyDescent="0.2">
      <c r="A9" s="903" t="s">
        <v>408</v>
      </c>
      <c r="B9" s="904"/>
      <c r="C9" s="905"/>
      <c r="D9" s="39">
        <v>2970</v>
      </c>
      <c r="E9" s="39">
        <v>1980</v>
      </c>
      <c r="F9" s="34">
        <f>'Учебный план'!K27</f>
        <v>3858</v>
      </c>
      <c r="G9" s="34">
        <f>'Учебный план'!L27</f>
        <v>2575</v>
      </c>
      <c r="H9" s="36">
        <f>IF(OR(D9="",E9=""),"введите данные ФГОС",IF('Учебный план'!K97=0,"заполняйте учебный план",IF(OR(D9="-",D9=F9),"норма",IF(F9&lt;D9,F9-D9,IF(F9&gt;D9,F9-D9,"норма")))))</f>
        <v>888</v>
      </c>
      <c r="I9" s="36">
        <f>IF(OR(D9="",E9=""),"введите данные ФГОС",IF('Учебный план'!K97=0,"заполняйте учебный план",IF(OR(E9="-",E9=G9),"норма",IF(G9&lt;E9,G9-E9,IF(G9&gt;E9,G9-E9,"норма")))))</f>
        <v>595</v>
      </c>
    </row>
    <row r="10" spans="1:9" s="75" customFormat="1" x14ac:dyDescent="0.2">
      <c r="A10" s="906" t="s">
        <v>162</v>
      </c>
      <c r="B10" s="904"/>
      <c r="C10" s="905"/>
      <c r="D10" s="39">
        <v>612</v>
      </c>
      <c r="E10" s="39">
        <v>408</v>
      </c>
      <c r="F10" s="34">
        <f>'Учебный план'!K28</f>
        <v>612</v>
      </c>
      <c r="G10" s="34">
        <f>'Учебный план'!L28</f>
        <v>408</v>
      </c>
      <c r="H10" s="36" t="str">
        <f>IF(OR(D10="",E10=""),"введите данные ФГОС",IF('Учебный план'!K97=0,"заполняйте учебный план",IF(OR(D10="-",D10=F10),"норма",IF(F10&lt;D10,F10-D10,IF(F10&gt;D10,F10-D10,"норма")))))</f>
        <v>норма</v>
      </c>
      <c r="I10" s="36" t="str">
        <f>IF(OR(D10="",E10=""),"введите данные ФГОС",IF('Учебный план'!K97=0,"заполняйте учебный план",IF(OR(E10="-",E10=G10),"норма",IF(G10&lt;E10,G10-E10,IF(G10&gt;E10,G10-E10,"норма")))))</f>
        <v>норма</v>
      </c>
    </row>
    <row r="11" spans="1:9" s="75" customFormat="1" x14ac:dyDescent="0.2">
      <c r="A11" s="903" t="s">
        <v>253</v>
      </c>
      <c r="B11" s="904"/>
      <c r="C11" s="905"/>
      <c r="D11" s="39">
        <v>162</v>
      </c>
      <c r="E11" s="39">
        <v>108</v>
      </c>
      <c r="F11" s="34">
        <f>'Учебный план'!K33</f>
        <v>168</v>
      </c>
      <c r="G11" s="34">
        <f>'Учебный план'!L33</f>
        <v>112</v>
      </c>
      <c r="H11" s="36">
        <f>IF(OR(D11="",E11=""),"введите данные ФГОС",IF('Учебный план'!K97=0,"заполняйте учебный план",IF(OR(D11="-",D11=F11),"норма",IF(F11&lt;D11,F11-D11,IF(F11&gt;D11,F11-D11,"норма")))))</f>
        <v>6</v>
      </c>
      <c r="I11" s="36">
        <f>IF(OR(D11="",E11=""),"введите данные ФГОС",IF('Учебный план'!K97=0,"заполняйте учебный план",IF(OR(E11="-",E11=G11),"норма",IF(G11&lt;E11,G11-E11,IF(G11&gt;E11,G11-E11,"норма")))))</f>
        <v>4</v>
      </c>
    </row>
    <row r="12" spans="1:9" s="75" customFormat="1" x14ac:dyDescent="0.2">
      <c r="A12" s="906" t="s">
        <v>75</v>
      </c>
      <c r="B12" s="904"/>
      <c r="C12" s="905"/>
      <c r="D12" s="39">
        <v>2196</v>
      </c>
      <c r="E12" s="39">
        <v>1464</v>
      </c>
      <c r="F12" s="34">
        <f>'Учебный план'!K37</f>
        <v>3078</v>
      </c>
      <c r="G12" s="34">
        <f>'Учебный план'!L37</f>
        <v>2055</v>
      </c>
      <c r="H12" s="36">
        <f>IF(OR(D12="",E12=""),"введите данные ФГОС",IF('Учебный план'!K97=0,"заполняйте учебный план",IF(OR(D12="-",D12=F12),"норма",IF(F12&lt;D12,F12-D12,IF(F12&gt;D12,F12-D12,"норма")))))</f>
        <v>882</v>
      </c>
      <c r="I12" s="36">
        <f>IF(OR(D12="",E12=""),"введите данные ФГОС",IF('Учебный план'!K97=0,"заполняйте учебный план",IF(OR(E12="-",E12=G12),"норма",IF(G12&lt;E12,G12-E12,IF(G12&gt;E12,G12-E12,"норма")))))</f>
        <v>591</v>
      </c>
    </row>
    <row r="13" spans="1:9" s="75" customFormat="1" x14ac:dyDescent="0.2">
      <c r="A13" s="906" t="s">
        <v>180</v>
      </c>
      <c r="B13" s="904"/>
      <c r="C13" s="905"/>
      <c r="D13" s="39">
        <v>804</v>
      </c>
      <c r="E13" s="39">
        <v>536</v>
      </c>
      <c r="F13" s="34">
        <f>'Учебный план'!K38</f>
        <v>1047</v>
      </c>
      <c r="G13" s="34">
        <f>'Учебный план'!L38</f>
        <v>698</v>
      </c>
      <c r="H13" s="36">
        <f>IF(OR(D13="",E13=""),"введите данные ФГОС",IF('Учебный план'!K97=0,"заполняйте учебный план",IF(OR(D13="-",D13=F13),"норма",IF(F13&lt;D13,F13-D13,IF(F13&gt;D13,F13-D13,"норма")))))</f>
        <v>243</v>
      </c>
      <c r="I13" s="36">
        <f>IF(OR(D13="",E13=""),"введите данные ФГОС",IF('Учебный план'!K97=0,"заполняйте учебный план",IF(OR(E13="-",E13=G13),"норма",IF(G13&lt;E13,G13-E13,IF(G13&gt;E13,G13-E13,"норма")))))</f>
        <v>162</v>
      </c>
    </row>
    <row r="14" spans="1:9" s="75" customFormat="1" x14ac:dyDescent="0.2">
      <c r="A14" s="906" t="s">
        <v>178</v>
      </c>
      <c r="B14" s="904"/>
      <c r="C14" s="905"/>
      <c r="D14" s="39">
        <v>1392</v>
      </c>
      <c r="E14" s="39">
        <v>928</v>
      </c>
      <c r="F14" s="34">
        <f>'Учебный план'!K47</f>
        <v>2031</v>
      </c>
      <c r="G14" s="34">
        <f>'Учебный план'!L47</f>
        <v>1357</v>
      </c>
      <c r="H14" s="36">
        <f>IF(OR(D14="",E14=""),"введите данные ФГОС",IF('Учебный план'!K97=0,"заполняйте учебный план",IF(OR(D14="-",D14=F14),"норма",IF(F14&lt;D14,F14-D14,IF(F14&gt;D14,F14-D14,"норма")))))</f>
        <v>639</v>
      </c>
      <c r="I14" s="36">
        <f>IF(OR(D14="",E14=""),"введите данные ФГОС",IF('Учебный план'!K97=0,"заполняйте учебный план",IF(OR(E14="-",E14=G14),"норма",IF(G14&lt;E14,G14-E14,IF(G14&gt;E14,G14-E14,"норма")))))</f>
        <v>429</v>
      </c>
    </row>
    <row r="15" spans="1:9" s="75" customFormat="1" x14ac:dyDescent="0.2">
      <c r="A15" s="903" t="s">
        <v>409</v>
      </c>
      <c r="B15" s="904"/>
      <c r="C15" s="905"/>
      <c r="D15" s="39">
        <v>1242</v>
      </c>
      <c r="E15" s="39">
        <v>828</v>
      </c>
      <c r="F15" s="34">
        <f>'Учебный план'!K74</f>
        <v>354</v>
      </c>
      <c r="G15" s="34">
        <f>'Учебный план'!L74</f>
        <v>233</v>
      </c>
      <c r="H15" s="36">
        <f>IF(OR(D15="",E15=""),"введите данные ФГОС",IF('Учебный план'!K97=0,"заполняйте учебный план",IF(OR(D15="-",D15=F15),"норма",IF(F15&lt;D15,F15-D15,IF(F15&gt;D15,F15-D15,"норма")))))</f>
        <v>-888</v>
      </c>
      <c r="I15" s="36">
        <f>IF(OR(D15="",E15=""),"введите данные ФГОС",IF('Учебный план'!K97=0,"заполняйте учебный план",IF(OR(E15="-",E15=G15),"норма",IF(G15&lt;E15,G15-E15,IF(G15&gt;E15,G15-E15,"норма")))))</f>
        <v>-595</v>
      </c>
    </row>
    <row r="16" spans="1:9" s="75" customFormat="1" x14ac:dyDescent="0.2">
      <c r="A16" s="903" t="s">
        <v>410</v>
      </c>
      <c r="B16" s="904"/>
      <c r="C16" s="905"/>
      <c r="D16" s="39">
        <v>4212</v>
      </c>
      <c r="E16" s="39">
        <v>2808</v>
      </c>
      <c r="F16" s="34">
        <f>F9+F15</f>
        <v>4212</v>
      </c>
      <c r="G16" s="34">
        <f>G9+G15</f>
        <v>2808</v>
      </c>
      <c r="H16" s="36" t="str">
        <f>IF(OR(D16="",E16=""),"введите данные ФГОС",IF('Учебный план'!K97=0,"заполняйте учебный план",IF(OR(D16="-",D16=F16),"норма",IF(F16&lt;D16,F16-D16,IF(F16&gt;D16,F16-D16,"норма")))))</f>
        <v>норма</v>
      </c>
      <c r="I16" s="36" t="str">
        <f>IF(OR(D16="",E16=""),"введите данные ФГОС",IF('Учебный план'!K97=0,"заполняйте учебный план",IF(OR(E16="-",E16=G16),"норма",IF(G16&lt;E16,G16-E16,IF(G16&gt;E16,G16-E16,"норма")))))</f>
        <v>норма</v>
      </c>
    </row>
    <row r="17" spans="1:17" s="75" customFormat="1" hidden="1" x14ac:dyDescent="0.2">
      <c r="A17" s="906" t="s">
        <v>252</v>
      </c>
      <c r="B17" s="904"/>
      <c r="C17" s="905"/>
      <c r="D17" s="76">
        <v>2268</v>
      </c>
      <c r="E17" s="39">
        <v>1512</v>
      </c>
      <c r="F17" s="34">
        <f>'Учебный план'!K80+'Учебный план'!K87</f>
        <v>1512</v>
      </c>
      <c r="G17" s="34">
        <f>'Учебный план'!L80+'Учебный план'!L87</f>
        <v>1512</v>
      </c>
      <c r="H17" s="36">
        <f>IF(OR(D17="",E17=""),"введите данные ФГОС",IF('Учебный план'!K97=0,"заполняйте учебный план",IF(OR(D17="-",D17=F17),"норма",IF(F17&lt;D17,F17-D17,IF(F17&gt;D17,F17-D17,"норма")))))</f>
        <v>-756</v>
      </c>
      <c r="I17" s="36" t="str">
        <f>IF(OR(D17="",E17=""),"введите данные ФГОС",IF('Учебный план'!K97=0,"заполняйте учебный план",IF(OR(E17="-",E17=G17),"норма",IF(G17&lt;E17,G17-E17,IF(G17&gt;E17,G17-E17,"норма")))))</f>
        <v>норма</v>
      </c>
    </row>
    <row r="18" spans="1:17" s="75" customFormat="1" hidden="1" x14ac:dyDescent="0.2">
      <c r="A18" s="906" t="s">
        <v>6</v>
      </c>
      <c r="B18" s="904"/>
      <c r="C18" s="905"/>
      <c r="D18" s="76">
        <v>396</v>
      </c>
      <c r="E18" s="76">
        <v>396</v>
      </c>
      <c r="F18" s="34">
        <f>'Учебный план'!K80</f>
        <v>396</v>
      </c>
      <c r="G18" s="34">
        <f>'Учебный план'!L80</f>
        <v>396</v>
      </c>
      <c r="H18" s="36" t="str">
        <f>IF(OR(D18="",E18=""),"введите данные ФГОС",IF('Учебный план'!K97=0,"заполняйте учебный план",IF(OR(D18="-",D18=F18),"норма",IF(F18&lt;D18,F18-D18,IF(F18&gt;D18,F18-D18,"норма")))))</f>
        <v>норма</v>
      </c>
      <c r="I18" s="36" t="str">
        <f>IF(OR(D18="",E18=""),"введите данные ФГОС",IF('Учебный план'!K97=0,"заполняйте учебный план",IF(OR(E18="-",E18=G18),"норма",IF(G18&lt;E18,G18-E18,IF(G18&gt;E18,G18-E18,"норма")))))</f>
        <v>норма</v>
      </c>
    </row>
    <row r="19" spans="1:17" s="75" customFormat="1" hidden="1" x14ac:dyDescent="0.2">
      <c r="A19" s="906" t="s">
        <v>134</v>
      </c>
      <c r="B19" s="904"/>
      <c r="C19" s="905"/>
      <c r="D19" s="76">
        <v>1116</v>
      </c>
      <c r="E19" s="76">
        <v>1116</v>
      </c>
      <c r="F19" s="34">
        <f>'Учебный план'!K87</f>
        <v>1116</v>
      </c>
      <c r="G19" s="34">
        <f>'Учебный план'!L87</f>
        <v>1116</v>
      </c>
      <c r="H19" s="36" t="str">
        <f>IF(OR(D19="",E19=""),"введите данные ФГОС",IF('Учебный план'!K97=0,"заполняйте учебный план",IF(OR(D19="-",D19=F19),"норма",IF(F19&lt;D19,F19-D19,IF(F19&gt;D19,F19-D19,"норма")))))</f>
        <v>норма</v>
      </c>
      <c r="I19" s="36" t="str">
        <f>IF(OR(D19="",E19=""),"введите данные ФГОС",IF('Учебный план'!K97=0,"заполняйте учебный план",IF(OR(E19="-",E19=G19),"норма",IF(G19&lt;E19,G19-E19,IF(G19&gt;E19,G19-E19,"норма")))))</f>
        <v>норма</v>
      </c>
    </row>
    <row r="20" spans="1:17" s="75" customFormat="1" hidden="1" x14ac:dyDescent="0.2">
      <c r="A20" s="906" t="s">
        <v>202</v>
      </c>
      <c r="B20" s="904"/>
      <c r="C20" s="905"/>
      <c r="D20" s="76">
        <v>216</v>
      </c>
      <c r="E20" s="76">
        <v>144</v>
      </c>
      <c r="F20" s="34">
        <f>'Учебный план'!K90</f>
        <v>216</v>
      </c>
      <c r="G20" s="34">
        <f>'Учебный план'!L90</f>
        <v>0</v>
      </c>
      <c r="H20" s="36" t="str">
        <f>IF(OR(D20="",E20=""),"введите данные ФГОС",IF('Учебный план'!K97=0,"заполняйте учебный план",IF(OR(D20="-",D20=F20),"норма",IF(F20&lt;D20,F20-D20,IF(F20&gt;D20,F20-D20,"норма")))))</f>
        <v>норма</v>
      </c>
      <c r="I20" s="36">
        <f>IF(OR(D20="",E20=""),"введите данные ФГОС",IF('Учебный план'!K97=0,"заполняйте учебный план",IF(OR(E20="-",E20=G20),"норма",IF(G20&lt;E20,G20-E20,IF(G20&gt;E20,G20-E20,"норма")))))</f>
        <v>-144</v>
      </c>
    </row>
    <row r="21" spans="1:17" s="75" customFormat="1" hidden="1" x14ac:dyDescent="0.2">
      <c r="A21" s="906" t="s">
        <v>179</v>
      </c>
      <c r="B21" s="904"/>
      <c r="C21" s="905"/>
      <c r="D21" s="76">
        <v>0</v>
      </c>
      <c r="E21" s="76" t="s">
        <v>22</v>
      </c>
      <c r="F21" s="34">
        <f>'Учебный план'!K93</f>
        <v>0</v>
      </c>
      <c r="G21" s="34">
        <f>'Учебный план'!L93</f>
        <v>0</v>
      </c>
      <c r="H21" s="36" t="str">
        <f>IF(OR(D21="",E21=""),"введите данные ФГОС",IF('Учебный план'!K97=0,"заполняйте учебный план",IF(OR(D21="-",D21=F21),"норма",IF(F21&lt;D21,F21-D21,IF(F21&gt;D21,F21-D21,"норма")))))</f>
        <v>норма</v>
      </c>
      <c r="I21" s="36" t="str">
        <f>IF(OR(D21="",E21=""),"введите данные ФГОС",IF('Учебный план'!K97=0,"заполняйте учебный план",IF(OR(E21="-",E21=G21),"норма",IF(G21&lt;E21,G21-E21,IF(G21&gt;E21,G21-E21,"норма")))))</f>
        <v>норма</v>
      </c>
      <c r="Q21" s="75" t="s">
        <v>26</v>
      </c>
    </row>
    <row r="22" spans="1:17" s="75" customFormat="1" hidden="1" x14ac:dyDescent="0.2">
      <c r="A22" s="907" t="s">
        <v>94</v>
      </c>
      <c r="B22" s="908"/>
      <c r="C22" s="909"/>
      <c r="D22" s="35">
        <f>D6+D9+D15+D17+D20</f>
        <v>8802</v>
      </c>
      <c r="E22" s="35">
        <f>E6+E9+E15+SUM(E18:E20)</f>
        <v>5868</v>
      </c>
      <c r="F22" s="35">
        <f>F6+F9+F15+F17+F20</f>
        <v>8046</v>
      </c>
      <c r="G22" s="35">
        <f>G6+G9+G15+G17+G20</f>
        <v>5724</v>
      </c>
      <c r="H22" s="36">
        <f>IF(OR(D22="",E22=""),"введите данные ФГОС",IF('Учебный план'!K97=0,"заполняйте учебный план",IF(OR(D22="-",D22=F22),"норма",IF(F22&lt;D22,F22-D22,IF(F22&gt;D22,F22-D22,"норма")))))</f>
        <v>-756</v>
      </c>
      <c r="I22" s="36">
        <f>IF(OR(D22="",E22=""),"введите данные ФГОС",IF('Учебный план'!K97=0,"заполняйте учебный план",IF(OR(E22="-",E22=G22),"норма",IF(G22&lt;E22,G22-E22,IF(G22&gt;E22,G22-E22,"норма")))))</f>
        <v>-144</v>
      </c>
    </row>
    <row r="23" spans="1:17" s="75" customFormat="1" x14ac:dyDescent="0.2">
      <c r="A23" s="21"/>
      <c r="B23" s="21"/>
      <c r="C23" s="21"/>
      <c r="D23" s="21"/>
      <c r="E23" s="21"/>
      <c r="F23" s="21"/>
      <c r="G23" s="21"/>
      <c r="H23" s="21"/>
      <c r="I23" s="21"/>
    </row>
    <row r="24" spans="1:17" s="75" customFormat="1" x14ac:dyDescent="0.2">
      <c r="A24" s="918" t="s">
        <v>95</v>
      </c>
      <c r="B24" s="918"/>
      <c r="C24" s="918"/>
      <c r="D24" s="918"/>
      <c r="E24" s="918"/>
      <c r="F24" s="918"/>
      <c r="G24" s="918"/>
      <c r="H24" s="918"/>
      <c r="I24" s="918"/>
      <c r="M24" s="75" t="s">
        <v>26</v>
      </c>
    </row>
    <row r="25" spans="1:17" s="75" customFormat="1" ht="78" customHeight="1" x14ac:dyDescent="0.2">
      <c r="A25" s="925" t="s">
        <v>109</v>
      </c>
      <c r="B25" s="926"/>
      <c r="C25" s="926"/>
      <c r="D25" s="926"/>
      <c r="E25" s="927"/>
      <c r="F25" s="105" t="s">
        <v>356</v>
      </c>
      <c r="G25" s="105" t="s">
        <v>355</v>
      </c>
      <c r="H25" s="18" t="s">
        <v>110</v>
      </c>
      <c r="I25" s="18" t="s">
        <v>111</v>
      </c>
    </row>
    <row r="26" spans="1:17" s="75" customFormat="1" x14ac:dyDescent="0.2">
      <c r="A26" s="910"/>
      <c r="B26" s="911"/>
      <c r="C26" s="911"/>
      <c r="D26" s="911"/>
      <c r="E26" s="912"/>
      <c r="F26" s="49"/>
      <c r="G26" s="77"/>
      <c r="H26" s="50"/>
      <c r="I26" s="51"/>
    </row>
    <row r="27" spans="1:17" s="75" customFormat="1" x14ac:dyDescent="0.2">
      <c r="A27" s="913" t="s">
        <v>411</v>
      </c>
      <c r="B27" s="914"/>
      <c r="C27" s="914"/>
      <c r="D27" s="914"/>
      <c r="E27" s="915"/>
      <c r="F27" s="37">
        <v>147</v>
      </c>
      <c r="G27" s="47">
        <v>147</v>
      </c>
      <c r="H27" s="37">
        <f>IF(G27="","введите данные ФГОС",IF(F27="","введите рекомендации УМУ",IF('Титульный лист'!BN29=0,"заполняйте титульный лист",SUM('Титульный лист'!BN25:BN28))))</f>
        <v>147</v>
      </c>
      <c r="I27" s="52" t="str">
        <f t="shared" ref="I27:I36" si="0">IF(G27="","введите данные ФГОС",IF(F27="","введите рекомендации УМУ",IF(H27="заполняйте титульный лист","заполняйте титульный лист",IF(AND(H27=G27,H27=F27),"норма","отклонение"))))</f>
        <v>норма</v>
      </c>
    </row>
    <row r="28" spans="1:17" s="75" customFormat="1" x14ac:dyDescent="0.2">
      <c r="A28" s="916" t="s">
        <v>240</v>
      </c>
      <c r="B28" s="914"/>
      <c r="C28" s="914"/>
      <c r="D28" s="914"/>
      <c r="E28" s="915"/>
      <c r="F28" s="37">
        <v>78</v>
      </c>
      <c r="G28" s="47">
        <v>78</v>
      </c>
      <c r="H28" s="37">
        <f>IF(G28="","введите данные ФГОС",IF(F28="","введите рекомендации УМУ",IF('Титульный лист'!BN29=0,"заполняйте титульный лист",SUM('Титульный лист'!BD25:BD28))))</f>
        <v>78</v>
      </c>
      <c r="I28" s="52" t="str">
        <f t="shared" si="0"/>
        <v>норма</v>
      </c>
    </row>
    <row r="29" spans="1:17" s="75" customFormat="1" x14ac:dyDescent="0.2">
      <c r="A29" s="916" t="s">
        <v>241</v>
      </c>
      <c r="B29" s="914"/>
      <c r="C29" s="914"/>
      <c r="D29" s="914"/>
      <c r="E29" s="915"/>
      <c r="F29" s="37">
        <v>42</v>
      </c>
      <c r="G29" s="47">
        <v>42</v>
      </c>
      <c r="H29" s="37">
        <f>IF(G29="","введите данные ФГОС",IF(F29="","введите рекомендации УМУ",IF('Титульный лист'!BN29=0,"заполняйте титульный лист",SUM('Титульный лист'!BH24:BI28))))</f>
        <v>42</v>
      </c>
      <c r="I29" s="52" t="str">
        <f t="shared" si="0"/>
        <v>норма</v>
      </c>
    </row>
    <row r="30" spans="1:17" s="75" customFormat="1" x14ac:dyDescent="0.2">
      <c r="A30" s="916" t="s">
        <v>242</v>
      </c>
      <c r="B30" s="914"/>
      <c r="C30" s="914"/>
      <c r="D30" s="914"/>
      <c r="E30" s="915"/>
      <c r="F30" s="37">
        <v>5</v>
      </c>
      <c r="G30" s="47">
        <v>5</v>
      </c>
      <c r="H30" s="37">
        <f>IF(G30="","введите данные ФГОС",IF(F30="","введите рекомендации УМУ",IF('Титульный лист'!BN29=0,"заполняйте титульный лист",SUM('Титульный лист'!BG25:BG28))))</f>
        <v>5</v>
      </c>
      <c r="I30" s="52" t="str">
        <f t="shared" si="0"/>
        <v>норма</v>
      </c>
    </row>
    <row r="31" spans="1:17" s="75" customFormat="1" x14ac:dyDescent="0.2">
      <c r="A31" s="913" t="s">
        <v>579</v>
      </c>
      <c r="B31" s="914"/>
      <c r="C31" s="914"/>
      <c r="D31" s="914"/>
      <c r="E31" s="915"/>
      <c r="F31" s="37">
        <v>4</v>
      </c>
      <c r="G31" s="47">
        <v>4</v>
      </c>
      <c r="H31" s="37">
        <f>IF(G31="","введите данные ФГОС",IF(F31="","введите рекомендации УМУ",IF('Титульный лист'!BN29=0,"заполняйте титульный лист",SUM('Титульный лист'!BJ24:BL28))))</f>
        <v>4</v>
      </c>
      <c r="I31" s="52" t="str">
        <f t="shared" si="0"/>
        <v>норма</v>
      </c>
    </row>
    <row r="32" spans="1:17" s="75" customFormat="1" x14ac:dyDescent="0.2">
      <c r="A32" s="916" t="s">
        <v>243</v>
      </c>
      <c r="B32" s="914"/>
      <c r="C32" s="914"/>
      <c r="D32" s="914"/>
      <c r="E32" s="915"/>
      <c r="F32" s="37">
        <v>18</v>
      </c>
      <c r="G32" s="47">
        <v>18</v>
      </c>
      <c r="H32" s="37">
        <f>IF(G32="","введите данные ФГОС",IF(F32="","введите рекомендации УМУ",IF('Титульный лист'!BN29=0,"заполняйте титульный лист",SUM('Титульный лист'!BM25:BM28))))</f>
        <v>18</v>
      </c>
      <c r="I32" s="52" t="str">
        <f t="shared" si="0"/>
        <v>норма</v>
      </c>
    </row>
    <row r="33" spans="1:9" s="75" customFormat="1" x14ac:dyDescent="0.2">
      <c r="A33" s="913" t="s">
        <v>412</v>
      </c>
      <c r="B33" s="914"/>
      <c r="C33" s="914"/>
      <c r="D33" s="914"/>
      <c r="E33" s="915"/>
      <c r="F33" s="37">
        <v>52</v>
      </c>
      <c r="G33" s="47">
        <v>52</v>
      </c>
      <c r="H33" s="37">
        <f>IF(G33="","введите данные ФГОС",IF(F33="","введите рекомендации УМУ",IF('Титульный лист'!BN29=0,"заполняйте титульный лист",'Титульный лист'!BN24)))</f>
        <v>52</v>
      </c>
      <c r="I33" s="52" t="str">
        <f t="shared" si="0"/>
        <v>норма</v>
      </c>
    </row>
    <row r="34" spans="1:9" s="75" customFormat="1" x14ac:dyDescent="0.2">
      <c r="A34" s="913" t="s">
        <v>413</v>
      </c>
      <c r="B34" s="914"/>
      <c r="C34" s="914"/>
      <c r="D34" s="914"/>
      <c r="E34" s="915"/>
      <c r="F34" s="37">
        <v>39</v>
      </c>
      <c r="G34" s="47">
        <v>39</v>
      </c>
      <c r="H34" s="37">
        <f>IF(G34="","введите данные ФГОС",IF(F34="","введите рекомендации УМУ",IF('Титульный лист'!BN29=0,"заполняйте титульный лист",'Титульный лист'!BD24)))</f>
        <v>39</v>
      </c>
      <c r="I34" s="52" t="str">
        <f t="shared" si="0"/>
        <v>норма</v>
      </c>
    </row>
    <row r="35" spans="1:9" s="75" customFormat="1" x14ac:dyDescent="0.2">
      <c r="A35" s="913" t="s">
        <v>414</v>
      </c>
      <c r="B35" s="914"/>
      <c r="C35" s="914"/>
      <c r="D35" s="914"/>
      <c r="E35" s="915"/>
      <c r="F35" s="37">
        <v>2</v>
      </c>
      <c r="G35" s="47">
        <v>2</v>
      </c>
      <c r="H35" s="37">
        <f>IF(G35="","введите данные ФГОС",IF(F35="","введите рекомендации УМУ",IF('Титульный лист'!BN29=0,"заполняйте титульный лист",'Титульный лист'!BG24)))</f>
        <v>2</v>
      </c>
      <c r="I35" s="52" t="str">
        <f t="shared" si="0"/>
        <v>норма</v>
      </c>
    </row>
    <row r="36" spans="1:9" s="75" customFormat="1" x14ac:dyDescent="0.2">
      <c r="A36" s="913" t="s">
        <v>415</v>
      </c>
      <c r="B36" s="914"/>
      <c r="C36" s="914"/>
      <c r="D36" s="914"/>
      <c r="E36" s="915"/>
      <c r="F36" s="37">
        <v>11</v>
      </c>
      <c r="G36" s="47">
        <v>11</v>
      </c>
      <c r="H36" s="37">
        <f>IF(G36="","введите данные ФГОС",IF(F36="","введите рекомендации УМУ",IF('Титульный лист'!BN29=0,"заполняйте титульный лист",'Титульный лист'!BM24)))</f>
        <v>11</v>
      </c>
      <c r="I36" s="52" t="str">
        <f t="shared" si="0"/>
        <v>норма</v>
      </c>
    </row>
    <row r="37" spans="1:9" s="75" customFormat="1" x14ac:dyDescent="0.2">
      <c r="A37" s="910"/>
      <c r="B37" s="911"/>
      <c r="C37" s="911"/>
      <c r="D37" s="911"/>
      <c r="E37" s="912"/>
      <c r="F37" s="49"/>
      <c r="G37" s="77"/>
      <c r="H37" s="49"/>
      <c r="I37" s="51"/>
    </row>
    <row r="38" spans="1:9" s="75" customFormat="1" x14ac:dyDescent="0.2">
      <c r="A38" s="916" t="s">
        <v>244</v>
      </c>
      <c r="B38" s="914"/>
      <c r="C38" s="914"/>
      <c r="D38" s="914"/>
      <c r="E38" s="915"/>
      <c r="F38" s="33">
        <v>54</v>
      </c>
      <c r="G38" s="45">
        <v>54</v>
      </c>
      <c r="H38" s="33">
        <f>IF(G38="","введите данные ФГОС",IF(F38="","введите рекомендации УМУ",IF('Учебный план'!K97=0,"заполняйте учебный план",'Учебный план'!K104)))</f>
        <v>54</v>
      </c>
      <c r="I38" s="52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75" customFormat="1" ht="12.75" customHeight="1" x14ac:dyDescent="0.2">
      <c r="A39" s="916" t="s">
        <v>245</v>
      </c>
      <c r="B39" s="914"/>
      <c r="C39" s="914"/>
      <c r="D39" s="914"/>
      <c r="E39" s="915"/>
      <c r="F39" s="33">
        <v>36</v>
      </c>
      <c r="G39" s="45">
        <v>36</v>
      </c>
      <c r="H39" s="33">
        <f>IF(G39="","введите данные ФГОС",IF(F39="","введите рекомендации УМУ",IF('Учебный план'!K97=0,"заполняйте учебный план",'Учебный план'!K105)))</f>
        <v>36</v>
      </c>
      <c r="I39" s="52" t="str">
        <f>IF(G39="","введите данные ФГОС",IF(F39="","введите рекомендации УМУ",IF(H39="заполняйте учебный план","заполняйте учебный план",IF(AND(H39&lt;=G39,H39&lt;=F39),"норма","отклонение"))))</f>
        <v>норма</v>
      </c>
    </row>
    <row r="40" spans="1:9" s="78" customFormat="1" ht="12.75" customHeight="1" x14ac:dyDescent="0.2">
      <c r="A40" s="916" t="s">
        <v>113</v>
      </c>
      <c r="B40" s="914"/>
      <c r="C40" s="914"/>
      <c r="D40" s="914"/>
      <c r="E40" s="915"/>
      <c r="F40" s="37">
        <v>11</v>
      </c>
      <c r="G40" s="47">
        <v>11</v>
      </c>
      <c r="H40" s="37">
        <f>IF(G40="","введите данные ФГОС",IF(F40="","введите рекомендации УМУ",IF('Титульный лист'!BN29=0,"заполняйте титульный лист",DMAX('Титульный лист'!BM20:BN28,1,F61:G62))))</f>
        <v>11</v>
      </c>
      <c r="I40" s="22" t="str">
        <f>IF(G40="","введите данные ФГОС",IF(F40="","введите рекомендации УМУ",IF(H40="заполняйте титульный лист","заполняйте титульный лист",IF(AND(H40&lt;=F40,H40&lt;=G40),"норма","отклонение"))))</f>
        <v>норма</v>
      </c>
    </row>
    <row r="41" spans="1:9" s="78" customFormat="1" ht="12.75" customHeight="1" x14ac:dyDescent="0.2">
      <c r="A41" s="916" t="s">
        <v>112</v>
      </c>
      <c r="B41" s="914"/>
      <c r="C41" s="914"/>
      <c r="D41" s="914"/>
      <c r="E41" s="915"/>
      <c r="F41" s="37">
        <v>8</v>
      </c>
      <c r="G41" s="47">
        <v>8</v>
      </c>
      <c r="H41" s="37">
        <f>IF(G41="","введите данные ФГОС",IF(F41="","введите рекомендации УМУ",IF('Титульный лист'!BN29=0,"заполняйте титульный лист",DMIN('Титульный лист'!BM20:BN28,1,F63:G64))))</f>
        <v>8</v>
      </c>
      <c r="I41" s="22" t="str">
        <f>IF(G41="","введите данные ФГОС",IF(F41="","введите рекомендации УМУ",IF(H41="заполняйте титульный лист","заполняйте титульный лист",IF(AND(H41&gt;=F41,H41&gt;=G41),"норма","отклонение"))))</f>
        <v>норма</v>
      </c>
    </row>
    <row r="42" spans="1:9" s="78" customFormat="1" ht="12.75" customHeight="1" x14ac:dyDescent="0.2">
      <c r="A42" s="916" t="s">
        <v>246</v>
      </c>
      <c r="B42" s="914"/>
      <c r="C42" s="914"/>
      <c r="D42" s="914"/>
      <c r="E42" s="915"/>
      <c r="F42" s="34">
        <v>2</v>
      </c>
      <c r="G42" s="46">
        <v>3</v>
      </c>
      <c r="H42" s="34">
        <v>3</v>
      </c>
      <c r="I42" s="52" t="str">
        <f>IF(G42="","введите данные ФГОС",IF(F42="","введите рекомендации УМУ",IF(H42="заполняйте учебный план","заполняйте учебный план",IF(OR(H42=G42,H42=F42),"норма","отклонение"))))</f>
        <v>норма</v>
      </c>
    </row>
    <row r="43" spans="1:9" s="78" customFormat="1" ht="12.75" customHeight="1" x14ac:dyDescent="0.2">
      <c r="A43" s="916" t="s">
        <v>247</v>
      </c>
      <c r="B43" s="914"/>
      <c r="C43" s="914"/>
      <c r="D43" s="914"/>
      <c r="E43" s="915"/>
      <c r="F43" s="34">
        <v>2</v>
      </c>
      <c r="G43" s="46">
        <v>2</v>
      </c>
      <c r="H43" s="34">
        <f>IF(G43="","введите данные ФГОС",IF(F43="","введите рекомендации УМУ",IF('Учебный план'!K97=0,"заполняйте учебный план",IF(F68&lt;&gt;G43,F68,IF(G68&lt;&gt;G43,G68,G43)))))</f>
        <v>2</v>
      </c>
      <c r="I43" s="52" t="str">
        <f>IF(G43="","введите данные ФГОС",IF(F43="","введите рекомендации УМУ",IF(H43="заполняйте учебный план","заполняйте учебный план",IF(AND(H43=G43,H43=F43),"норма","отклонение"))))</f>
        <v>норма</v>
      </c>
    </row>
    <row r="44" spans="1:9" s="78" customFormat="1" ht="12.75" customHeight="1" x14ac:dyDescent="0.2">
      <c r="A44" s="916" t="s">
        <v>282</v>
      </c>
      <c r="B44" s="914"/>
      <c r="C44" s="914"/>
      <c r="D44" s="914"/>
      <c r="E44" s="915"/>
      <c r="F44" s="34">
        <v>100</v>
      </c>
      <c r="G44" s="46">
        <v>100</v>
      </c>
      <c r="H44" s="34">
        <v>100</v>
      </c>
      <c r="I44" s="52" t="str">
        <f>IF(G44="","введите данные ФГОС",IF(F44="","введите рекомендации УМУ",IF(H44="заполняйте титульный лист","заполняйте титульный лист",IF(H44="заполняйте учебный план","заполняйте учебный план",IF(AND(H44=G44,H44=F44),"норма","отклонение")))))</f>
        <v>норма</v>
      </c>
    </row>
    <row r="45" spans="1:9" s="78" customFormat="1" ht="12.75" customHeight="1" x14ac:dyDescent="0.2">
      <c r="A45" s="916" t="s">
        <v>274</v>
      </c>
      <c r="B45" s="914"/>
      <c r="C45" s="914"/>
      <c r="D45" s="914"/>
      <c r="E45" s="915"/>
      <c r="F45" s="37">
        <v>8</v>
      </c>
      <c r="G45" s="47">
        <v>8</v>
      </c>
      <c r="H45" s="37">
        <f>IF(G45="","введите данные ФГОС",IF(F45="","введите рекомендации УМУ",IF('Учебный план'!K106=0,"заполняйте учебный план",MAX('Учебный план'!V106+'Учебный план'!AB106,'Учебный план'!AH106+'Учебный план'!AN106,'Учебный план'!AT106+'Учебный план'!AZ106,'Учебный план'!BF106+'Учебный план'!BL106))))</f>
        <v>4</v>
      </c>
      <c r="I45" s="52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78" customFormat="1" ht="12.75" customHeight="1" x14ac:dyDescent="0.2">
      <c r="A46" s="916" t="s">
        <v>275</v>
      </c>
      <c r="B46" s="914"/>
      <c r="C46" s="914"/>
      <c r="D46" s="914"/>
      <c r="E46" s="915"/>
      <c r="F46" s="37">
        <v>10</v>
      </c>
      <c r="G46" s="47">
        <v>10</v>
      </c>
      <c r="H46" s="37">
        <f>IF(G46="","введите данные ФГОС",IF(F46="","введите рекомендации УМУ",IF('Учебный план'!K107=0,"заполняйте учебный план",MAX('Учебный план'!V107+'Учебный план'!AB107,'Учебный план'!AH107+'Учебный план'!AN107,'Учебный план'!AT107+'Учебный план'!AZ107,'Учебный план'!BF107+'Учебный план'!BL107))))</f>
        <v>10</v>
      </c>
      <c r="I46" s="52" t="str">
        <f>IF(G46="","введите данные ФГОС",IF(F46="","введите рекомендации УМУ",IF(H46="заполняйте учебный план","заполняйте учебный план",IF(AND(H46&lt;=G46,H46&lt;=F46),"норма","отклонение"))))</f>
        <v>норма</v>
      </c>
    </row>
    <row r="47" spans="1:9" s="78" customFormat="1" ht="12.75" customHeight="1" x14ac:dyDescent="0.2">
      <c r="A47" s="916" t="s">
        <v>248</v>
      </c>
      <c r="B47" s="914"/>
      <c r="C47" s="914"/>
      <c r="D47" s="914"/>
      <c r="E47" s="915"/>
      <c r="F47" s="37">
        <v>3</v>
      </c>
      <c r="G47" s="47">
        <v>3</v>
      </c>
      <c r="H47" s="37">
        <f>'Учебный план'!K108</f>
        <v>2</v>
      </c>
      <c r="I47" s="22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78" customFormat="1" ht="12.75" customHeight="1" x14ac:dyDescent="0.2">
      <c r="A48" s="916" t="s">
        <v>249</v>
      </c>
      <c r="B48" s="914"/>
      <c r="C48" s="914"/>
      <c r="D48" s="914"/>
      <c r="E48" s="915"/>
      <c r="F48" s="34" t="s">
        <v>145</v>
      </c>
      <c r="G48" s="46" t="s">
        <v>145</v>
      </c>
      <c r="H48" s="104" t="s">
        <v>145</v>
      </c>
      <c r="I48" s="22" t="str">
        <f>IF(G48="","введите данные ФГОС",IF(F48="","введите рекомендации УМУ",IF(H48="заполняйте учебный план","заполняйте учебный план",IF(AND(H48&lt;=F48,H48&lt;=G48),"норма","отклонение"))))</f>
        <v>норма</v>
      </c>
    </row>
    <row r="49" spans="1:9" s="78" customFormat="1" ht="12.75" customHeight="1" x14ac:dyDescent="0.2">
      <c r="A49" s="916" t="s">
        <v>135</v>
      </c>
      <c r="B49" s="914"/>
      <c r="C49" s="914"/>
      <c r="D49" s="914"/>
      <c r="E49" s="915"/>
      <c r="F49" s="34" t="s">
        <v>145</v>
      </c>
      <c r="G49" s="46" t="s">
        <v>145</v>
      </c>
      <c r="H49" s="104" t="s">
        <v>145</v>
      </c>
      <c r="I49" s="22" t="str">
        <f>IF(G49="","введите данные ФГОС",IF(F49="","введите рекомендации УМУ",IF(H49="запоняйте учебный план","заполняйте учебный план",IF(H49="да","норма","отклонение"))))</f>
        <v>норма</v>
      </c>
    </row>
    <row r="50" spans="1:9" s="75" customForma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s="75" customForma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s="75" customFormat="1" x14ac:dyDescent="0.2">
      <c r="A52" s="918" t="s">
        <v>97</v>
      </c>
      <c r="B52" s="918"/>
      <c r="C52" s="918"/>
      <c r="D52" s="918"/>
      <c r="E52" s="918"/>
      <c r="F52" s="918"/>
      <c r="G52" s="918"/>
      <c r="H52" s="918"/>
      <c r="I52" s="918"/>
    </row>
    <row r="53" spans="1:9" s="75" customFormat="1" x14ac:dyDescent="0.2">
      <c r="A53" s="919" t="s">
        <v>250</v>
      </c>
      <c r="B53" s="920"/>
      <c r="C53" s="920"/>
      <c r="D53" s="920"/>
      <c r="E53" s="920"/>
      <c r="F53" s="946" t="s">
        <v>560</v>
      </c>
      <c r="G53" s="947"/>
      <c r="H53" s="947"/>
      <c r="I53" s="948"/>
    </row>
    <row r="54" spans="1:9" s="75" customFormat="1" x14ac:dyDescent="0.2">
      <c r="A54" s="949"/>
      <c r="B54" s="950"/>
      <c r="C54" s="950"/>
      <c r="D54" s="950"/>
      <c r="E54" s="950"/>
      <c r="F54" s="917" t="s">
        <v>251</v>
      </c>
      <c r="G54" s="917"/>
      <c r="H54" s="917"/>
      <c r="I54" s="917"/>
    </row>
    <row r="55" spans="1:9" s="75" customFormat="1" ht="24" customHeight="1" x14ac:dyDescent="0.2">
      <c r="A55" s="921">
        <f>A5</f>
        <v>0</v>
      </c>
      <c r="B55" s="922"/>
      <c r="C55" s="922"/>
      <c r="D55" s="922"/>
      <c r="E55" s="922"/>
      <c r="F55" s="954" t="s">
        <v>360</v>
      </c>
      <c r="G55" s="954"/>
      <c r="H55" s="954"/>
      <c r="I55" s="954"/>
    </row>
    <row r="56" spans="1:9" s="75" customForma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s="75" customFormat="1" x14ac:dyDescent="0.2">
      <c r="A57" s="953" t="s">
        <v>98</v>
      </c>
      <c r="B57" s="953"/>
      <c r="C57" s="953"/>
      <c r="D57" s="953"/>
      <c r="E57" s="953"/>
      <c r="F57" s="953"/>
      <c r="G57" s="953"/>
      <c r="H57" s="953"/>
      <c r="I57" s="21"/>
    </row>
    <row r="58" spans="1:9" s="75" customFormat="1" ht="12.75" customHeight="1" x14ac:dyDescent="0.2">
      <c r="A58" s="951" t="s">
        <v>574</v>
      </c>
      <c r="B58" s="920"/>
      <c r="C58" s="920"/>
      <c r="D58" s="920"/>
      <c r="E58" s="952"/>
      <c r="F58" s="940" t="str">
        <f>'[1]Титульный лист'!BC13</f>
        <v>07.05.2014 г. № 443</v>
      </c>
      <c r="G58" s="941"/>
      <c r="H58" s="942"/>
      <c r="I58" s="21"/>
    </row>
    <row r="59" spans="1:9" s="75" customFormat="1" x14ac:dyDescent="0.2">
      <c r="A59" s="919" t="s">
        <v>99</v>
      </c>
      <c r="B59" s="920"/>
      <c r="C59" s="920"/>
      <c r="D59" s="920"/>
      <c r="E59" s="952"/>
      <c r="F59" s="943">
        <v>42614</v>
      </c>
      <c r="G59" s="944"/>
      <c r="H59" s="945"/>
      <c r="I59" s="21"/>
    </row>
    <row r="61" spans="1:9" s="80" customFormat="1" ht="11.25" hidden="1" x14ac:dyDescent="0.2">
      <c r="A61" s="79"/>
      <c r="B61" s="79"/>
      <c r="C61" s="79"/>
      <c r="D61" s="79"/>
      <c r="F61" s="81" t="s">
        <v>24</v>
      </c>
      <c r="G61" s="81" t="s">
        <v>5</v>
      </c>
    </row>
    <row r="62" spans="1:9" s="80" customFormat="1" ht="11.25" hidden="1" x14ac:dyDescent="0.2">
      <c r="A62" s="79"/>
      <c r="B62" s="79"/>
      <c r="C62" s="79"/>
      <c r="D62" s="79"/>
      <c r="F62" s="81"/>
      <c r="G62" s="81" t="s">
        <v>144</v>
      </c>
      <c r="I62" s="82"/>
    </row>
    <row r="63" spans="1:9" s="80" customFormat="1" ht="11.25" hidden="1" x14ac:dyDescent="0.2">
      <c r="A63" s="79"/>
      <c r="B63" s="79"/>
      <c r="C63" s="79"/>
      <c r="D63" s="79"/>
      <c r="F63" s="81" t="s">
        <v>24</v>
      </c>
      <c r="G63" s="81" t="s">
        <v>5</v>
      </c>
    </row>
    <row r="64" spans="1:9" s="80" customFormat="1" ht="11.25" hidden="1" x14ac:dyDescent="0.2">
      <c r="A64" s="79"/>
      <c r="B64" s="79"/>
      <c r="C64" s="79"/>
      <c r="D64" s="79"/>
      <c r="F64" s="81" t="s">
        <v>259</v>
      </c>
      <c r="G64" s="81" t="s">
        <v>144</v>
      </c>
    </row>
    <row r="65" spans="1:10" s="80" customFormat="1" ht="11.25" hidden="1" x14ac:dyDescent="0.2">
      <c r="A65" s="79"/>
      <c r="B65" s="79"/>
      <c r="C65" s="79"/>
      <c r="D65" s="79"/>
    </row>
    <row r="66" spans="1:10" s="80" customFormat="1" ht="11.25" hidden="1" x14ac:dyDescent="0.2">
      <c r="A66" s="79"/>
      <c r="B66" s="79"/>
      <c r="C66" s="79"/>
      <c r="D66" s="901" t="s">
        <v>286</v>
      </c>
      <c r="E66" s="902"/>
      <c r="F66" s="899" t="s">
        <v>287</v>
      </c>
      <c r="G66" s="900"/>
    </row>
    <row r="67" spans="1:10" s="80" customFormat="1" ht="11.25" hidden="1" customHeight="1" x14ac:dyDescent="0.2">
      <c r="A67" s="83" t="s">
        <v>143</v>
      </c>
      <c r="D67" s="84" t="s">
        <v>284</v>
      </c>
      <c r="E67" s="84" t="s">
        <v>285</v>
      </c>
      <c r="F67" s="84" t="s">
        <v>284</v>
      </c>
      <c r="G67" s="84" t="s">
        <v>285</v>
      </c>
    </row>
    <row r="68" spans="1:10" s="80" customFormat="1" ht="11.25" hidden="1" x14ac:dyDescent="0.2">
      <c r="A68" s="85" t="e">
        <f>Примечание!#REF!</f>
        <v>#REF!</v>
      </c>
      <c r="D68" s="86">
        <v>3</v>
      </c>
      <c r="E68" s="86">
        <v>2</v>
      </c>
      <c r="F68" s="86">
        <v>2</v>
      </c>
      <c r="G68" s="86">
        <v>2</v>
      </c>
      <c r="H68" s="87"/>
    </row>
    <row r="69" spans="1:10" s="80" customFormat="1" ht="11.25" hidden="1" x14ac:dyDescent="0.2">
      <c r="A69" s="85" t="str">
        <f>Примечание!B21</f>
        <v>Наименование</v>
      </c>
      <c r="D69" s="88">
        <v>2</v>
      </c>
      <c r="E69" s="88">
        <v>23</v>
      </c>
      <c r="F69" s="88">
        <v>2</v>
      </c>
      <c r="G69" s="88">
        <v>28</v>
      </c>
    </row>
    <row r="70" spans="1:10" s="80" customFormat="1" ht="22.5" hidden="1" x14ac:dyDescent="0.2">
      <c r="A70" s="85" t="str">
        <f>Примечание!B22</f>
        <v>недель промежуточной аттестации</v>
      </c>
      <c r="D70" s="88" t="s">
        <v>7</v>
      </c>
      <c r="E70" s="88" t="s">
        <v>144</v>
      </c>
      <c r="F70" s="88" t="s">
        <v>7</v>
      </c>
      <c r="G70" s="88" t="s">
        <v>144</v>
      </c>
    </row>
    <row r="71" spans="1:10" s="80" customFormat="1" ht="11.25" hidden="1" x14ac:dyDescent="0.2">
      <c r="A71" s="85" t="s">
        <v>560</v>
      </c>
      <c r="D71" s="88">
        <v>2</v>
      </c>
      <c r="E71" s="88">
        <v>32</v>
      </c>
      <c r="F71" s="88">
        <v>2</v>
      </c>
      <c r="G71" s="88">
        <v>37</v>
      </c>
    </row>
    <row r="72" spans="1:10" s="80" customFormat="1" ht="22.5" hidden="1" x14ac:dyDescent="0.2">
      <c r="A72" s="85">
        <f>Примечание!B23</f>
        <v>0</v>
      </c>
      <c r="D72" s="88" t="s">
        <v>7</v>
      </c>
      <c r="E72" s="88" t="s">
        <v>144</v>
      </c>
      <c r="F72" s="88" t="s">
        <v>7</v>
      </c>
      <c r="G72" s="88" t="s">
        <v>144</v>
      </c>
      <c r="H72" s="87"/>
      <c r="I72" s="87"/>
      <c r="J72" s="87"/>
    </row>
    <row r="73" spans="1:10" s="80" customFormat="1" ht="11.25" hidden="1" x14ac:dyDescent="0.2">
      <c r="A73" s="85">
        <f>Примечание!B24</f>
        <v>0</v>
      </c>
      <c r="D73" s="88">
        <v>2</v>
      </c>
      <c r="E73" s="88">
        <v>41</v>
      </c>
      <c r="F73" s="88">
        <v>2</v>
      </c>
      <c r="G73" s="88">
        <v>46</v>
      </c>
    </row>
    <row r="74" spans="1:10" s="80" customFormat="1" ht="22.5" hidden="1" x14ac:dyDescent="0.2">
      <c r="A74" s="85" t="str">
        <f>Примечание!B25</f>
        <v>Междисциплинарный курс</v>
      </c>
      <c r="D74" s="88" t="s">
        <v>7</v>
      </c>
      <c r="E74" s="88" t="s">
        <v>144</v>
      </c>
      <c r="F74" s="88" t="s">
        <v>7</v>
      </c>
      <c r="G74" s="88" t="s">
        <v>144</v>
      </c>
    </row>
    <row r="75" spans="1:10" s="80" customFormat="1" ht="22.5" hidden="1" x14ac:dyDescent="0.2">
      <c r="A75" s="85" t="str">
        <f>Примечание!B26</f>
        <v xml:space="preserve">Эксплуатация, техническое обслуживание и ремонт судового энергетического оборудования    </v>
      </c>
      <c r="D75" s="88">
        <v>2</v>
      </c>
      <c r="E75" s="88">
        <v>50</v>
      </c>
      <c r="F75" s="88">
        <v>2</v>
      </c>
      <c r="G75" s="88">
        <v>55</v>
      </c>
    </row>
    <row r="76" spans="1:10" s="80" customFormat="1" ht="22.5" hidden="1" x14ac:dyDescent="0.2">
      <c r="A76" s="85" t="str">
        <f>Примечание!B27</f>
        <v>Обеспечение безопасности плавания</v>
      </c>
      <c r="D76" s="88" t="s">
        <v>7</v>
      </c>
      <c r="E76" s="88" t="s">
        <v>144</v>
      </c>
      <c r="F76" s="88" t="s">
        <v>7</v>
      </c>
      <c r="G76" s="88" t="s">
        <v>144</v>
      </c>
    </row>
    <row r="77" spans="1:10" s="80" customFormat="1" ht="11.25" hidden="1" x14ac:dyDescent="0.2">
      <c r="A77" s="85" t="str">
        <f>Примечание!B28</f>
        <v>Организация работы структурного подразделения</v>
      </c>
      <c r="D77" s="88">
        <v>2</v>
      </c>
      <c r="E77" s="88">
        <v>59</v>
      </c>
      <c r="F77" s="88">
        <v>2</v>
      </c>
      <c r="G77" s="88">
        <v>64</v>
      </c>
    </row>
    <row r="78" spans="1:10" s="80" customFormat="1" ht="22.5" hidden="1" x14ac:dyDescent="0.2">
      <c r="D78" s="88" t="s">
        <v>7</v>
      </c>
      <c r="E78" s="88" t="s">
        <v>144</v>
      </c>
      <c r="F78" s="88" t="s">
        <v>7</v>
      </c>
      <c r="G78" s="88" t="s">
        <v>144</v>
      </c>
    </row>
    <row r="79" spans="1:10" s="80" customFormat="1" ht="11.25" hidden="1" x14ac:dyDescent="0.2">
      <c r="A79" s="923" t="s">
        <v>281</v>
      </c>
      <c r="B79" s="924"/>
      <c r="D79" s="88">
        <v>2</v>
      </c>
      <c r="E79" s="88">
        <v>68</v>
      </c>
      <c r="F79" s="88">
        <v>2</v>
      </c>
      <c r="G79" s="88">
        <v>73</v>
      </c>
    </row>
    <row r="80" spans="1:10" s="80" customFormat="1" ht="22.5" hidden="1" x14ac:dyDescent="0.2">
      <c r="A80" s="85" t="str">
        <f>Примечание!B3</f>
        <v>Общего гуманитарного и социально-экономического цикла</v>
      </c>
      <c r="B80" s="89" t="str">
        <f>Примечание!C3</f>
        <v>64 - 1</v>
      </c>
      <c r="D80" s="88" t="s">
        <v>7</v>
      </c>
      <c r="E80" s="88" t="s">
        <v>144</v>
      </c>
      <c r="F80" s="88" t="s">
        <v>7</v>
      </c>
      <c r="G80" s="88" t="s">
        <v>144</v>
      </c>
    </row>
    <row r="81" spans="1:7" s="80" customFormat="1" ht="11.25" hidden="1" x14ac:dyDescent="0.2">
      <c r="A81" s="85" t="str">
        <f>Примечание!B4</f>
        <v>Математического  и общего естественнонаучного цикла</v>
      </c>
      <c r="B81" s="89" t="str">
        <f>Примечание!C4</f>
        <v>64 - 2</v>
      </c>
      <c r="D81" s="88">
        <v>2</v>
      </c>
      <c r="E81" s="88">
        <v>77</v>
      </c>
      <c r="F81" s="88">
        <v>2</v>
      </c>
      <c r="G81" s="88">
        <v>82</v>
      </c>
    </row>
    <row r="82" spans="1:7" s="80" customFormat="1" ht="22.5" hidden="1" x14ac:dyDescent="0.2">
      <c r="A82" s="85" t="str">
        <f>Примечание!B5</f>
        <v>Общепрофессиональных дисциплин</v>
      </c>
      <c r="B82" s="89" t="str">
        <f>Примечание!C5</f>
        <v>64 - 3</v>
      </c>
      <c r="D82" s="88" t="s">
        <v>7</v>
      </c>
      <c r="E82" s="88" t="s">
        <v>144</v>
      </c>
      <c r="F82" s="88" t="s">
        <v>7</v>
      </c>
      <c r="G82" s="88" t="s">
        <v>144</v>
      </c>
    </row>
    <row r="83" spans="1:7" s="80" customFormat="1" ht="11.25" hidden="1" x14ac:dyDescent="0.2">
      <c r="A83" s="85" t="str">
        <f>Примечание!B6</f>
        <v>Профессионального цикла специальности "Судовождение"</v>
      </c>
      <c r="B83" s="89" t="str">
        <f>Примечание!C6</f>
        <v>64 - 4</v>
      </c>
      <c r="D83" s="88">
        <v>2</v>
      </c>
      <c r="E83" s="88">
        <v>86</v>
      </c>
      <c r="F83" s="88">
        <v>2</v>
      </c>
      <c r="G83" s="88">
        <v>91</v>
      </c>
    </row>
    <row r="84" spans="1:7" s="80" customFormat="1" ht="22.5" hidden="1" x14ac:dyDescent="0.2">
      <c r="A84" s="85" t="str">
        <f>Примечание!B7</f>
        <v>Профессионального цикла специальности "Эксплуатация судовых энергетических установок"</v>
      </c>
      <c r="B84" s="89" t="str">
        <f>Примечание!C7</f>
        <v>64 - 5</v>
      </c>
      <c r="D84" s="88" t="s">
        <v>7</v>
      </c>
      <c r="E84" s="88" t="s">
        <v>144</v>
      </c>
      <c r="F84" s="88" t="s">
        <v>7</v>
      </c>
      <c r="G84" s="88" t="s">
        <v>144</v>
      </c>
    </row>
    <row r="85" spans="1:7" s="80" customFormat="1" ht="22.5" hidden="1" x14ac:dyDescent="0.2">
      <c r="A85" s="85" t="str">
        <f>Примечание!B8</f>
        <v xml:space="preserve">Профессионального цикла специальности "Эксплуатация судового электрооборудования и средств автоматики" </v>
      </c>
      <c r="B85" s="89" t="str">
        <f>Примечание!C8</f>
        <v>64 - 6</v>
      </c>
      <c r="D85" s="88">
        <v>2</v>
      </c>
      <c r="E85" s="88">
        <v>95</v>
      </c>
      <c r="F85" s="88">
        <v>2</v>
      </c>
      <c r="G85" s="88">
        <v>100</v>
      </c>
    </row>
    <row r="86" spans="1:7" s="80" customFormat="1" ht="22.5" hidden="1" x14ac:dyDescent="0.2">
      <c r="A86" s="85" t="str">
        <f>Примечание!B9</f>
        <v>Профессионального цикла специальности "Эксплуатация внутренних водных путей"</v>
      </c>
      <c r="B86" s="89" t="str">
        <f>Примечание!C9</f>
        <v>64 - 7</v>
      </c>
      <c r="D86" s="88" t="s">
        <v>7</v>
      </c>
      <c r="E86" s="88" t="s">
        <v>144</v>
      </c>
      <c r="F86" s="88" t="s">
        <v>7</v>
      </c>
      <c r="G86" s="88" t="s">
        <v>144</v>
      </c>
    </row>
    <row r="87" spans="1:7" s="80" customFormat="1" ht="22.5" hidden="1" x14ac:dyDescent="0.2">
      <c r="A87" s="85" t="str">
        <f>Примечание!B10</f>
        <v>Профессионального цикла специальности "Экономика и бухгалтерский учет (по отраслям)"</v>
      </c>
      <c r="B87" s="89" t="str">
        <f>Примечание!C10</f>
        <v>64 - 8</v>
      </c>
      <c r="D87" s="88">
        <v>2</v>
      </c>
      <c r="E87" s="88">
        <v>104</v>
      </c>
      <c r="F87" s="88">
        <v>2</v>
      </c>
      <c r="G87" s="88">
        <v>109</v>
      </c>
    </row>
    <row r="88" spans="1:7" s="80" customFormat="1" ht="22.5" hidden="1" x14ac:dyDescent="0.2">
      <c r="A88" s="85" t="str">
        <f>Примечание!B11</f>
        <v>Профессионального цикла специальности "Организация перевозок и управление на транспорте (по видам)"</v>
      </c>
      <c r="B88" s="89" t="str">
        <f>Примечание!C11</f>
        <v>64 - 9</v>
      </c>
      <c r="D88" s="88" t="s">
        <v>7</v>
      </c>
      <c r="E88" s="88" t="s">
        <v>144</v>
      </c>
      <c r="F88" s="88" t="s">
        <v>7</v>
      </c>
      <c r="G88" s="88" t="s">
        <v>144</v>
      </c>
    </row>
    <row r="89" spans="1:7" s="80" customFormat="1" ht="11.25" hidden="1" x14ac:dyDescent="0.2">
      <c r="A89" s="85" t="str">
        <f>Примечание!B12</f>
        <v>Кафедра теории конструирования инженерных сооружений</v>
      </c>
      <c r="B89" s="89">
        <f>Примечание!C12</f>
        <v>31</v>
      </c>
    </row>
    <row r="90" spans="1:7" s="80" customFormat="1" ht="11.25" hidden="1" x14ac:dyDescent="0.2">
      <c r="A90" s="85" t="str">
        <f>Примечание!B13</f>
        <v>Кафедра физического воспитания и спорта</v>
      </c>
      <c r="B90" s="89">
        <f>Примечание!C13</f>
        <v>33</v>
      </c>
    </row>
    <row r="91" spans="1:7" s="80" customFormat="1" ht="11.25" hidden="1" x14ac:dyDescent="0.2">
      <c r="A91" s="85">
        <f>Примечание!B15</f>
        <v>0</v>
      </c>
      <c r="B91" s="89">
        <f>Примечание!C15</f>
        <v>0</v>
      </c>
    </row>
    <row r="92" spans="1:7" s="80" customFormat="1" ht="11.25" hidden="1" x14ac:dyDescent="0.2">
      <c r="A92" s="85" t="str">
        <f>Примечание!B16</f>
        <v>Наименование отделения (факультета)</v>
      </c>
      <c r="B92" s="89" t="str">
        <f>Примечание!C16</f>
        <v>Код</v>
      </c>
    </row>
    <row r="93" spans="1:7" s="80" customFormat="1" ht="11.25" hidden="1" x14ac:dyDescent="0.2">
      <c r="A93" s="85" t="str">
        <f>Примечание!B17</f>
        <v>Нижегородское речное училище им.И.П.Кулибина</v>
      </c>
      <c r="B93" s="89">
        <f>Примечание!C17</f>
        <v>64</v>
      </c>
    </row>
    <row r="94" spans="1:7" s="80" customFormat="1" ht="11.25" hidden="1" x14ac:dyDescent="0.2">
      <c r="A94" s="85" t="e">
        <f>Примечание!#REF!</f>
        <v>#REF!</v>
      </c>
      <c r="B94" s="89" t="e">
        <f>Примечание!#REF!</f>
        <v>#REF!</v>
      </c>
    </row>
    <row r="95" spans="1:7" s="80" customFormat="1" ht="11.25" hidden="1" x14ac:dyDescent="0.2">
      <c r="A95" s="85" t="e">
        <f>Примечание!#REF!</f>
        <v>#REF!</v>
      </c>
      <c r="B95" s="89" t="e">
        <f>Примечание!#REF!</f>
        <v>#REF!</v>
      </c>
    </row>
    <row r="96" spans="1:7" s="80" customFormat="1" ht="11.25" hidden="1" x14ac:dyDescent="0.2">
      <c r="A96" s="85" t="e">
        <f>Примечание!#REF!</f>
        <v>#REF!</v>
      </c>
      <c r="B96" s="89" t="e">
        <f>Примечание!#REF!</f>
        <v>#REF!</v>
      </c>
    </row>
    <row r="97" spans="1:7" s="80" customFormat="1" hidden="1" x14ac:dyDescent="0.2">
      <c r="A97" s="85" t="str">
        <f>Примечание!B18</f>
        <v>Управление конвенционной подготовки и повышения квалификации</v>
      </c>
      <c r="B97" s="89">
        <f>Примечание!C18</f>
        <v>5</v>
      </c>
      <c r="D97" s="90"/>
      <c r="E97" s="90"/>
      <c r="F97" s="90"/>
      <c r="G97" s="90"/>
    </row>
    <row r="98" spans="1:7" s="80" customFormat="1" hidden="1" x14ac:dyDescent="0.2">
      <c r="A98" s="85">
        <f>Примечание!B19</f>
        <v>0</v>
      </c>
      <c r="B98" s="89">
        <f>Примечание!C19</f>
        <v>0</v>
      </c>
      <c r="D98" s="90"/>
      <c r="E98" s="90"/>
      <c r="F98" s="90"/>
      <c r="G98" s="90"/>
    </row>
    <row r="99" spans="1:7" s="80" customFormat="1" hidden="1" x14ac:dyDescent="0.2">
      <c r="A99" s="85">
        <f>Примечание!B20</f>
        <v>0</v>
      </c>
      <c r="B99" s="89">
        <f>Примечание!C20</f>
        <v>0</v>
      </c>
      <c r="D99" s="90"/>
      <c r="E99" s="90"/>
      <c r="F99" s="90"/>
      <c r="G99" s="90"/>
    </row>
    <row r="100" spans="1:7" hidden="1" x14ac:dyDescent="0.2"/>
  </sheetData>
  <sheetProtection password="CF70" sheet="1" objects="1" scenarios="1" selectLockedCells="1" autoFilter="0" selectUnlockedCells="1"/>
  <mergeCells count="64">
    <mergeCell ref="F58:H58"/>
    <mergeCell ref="A13:C13"/>
    <mergeCell ref="A14:C14"/>
    <mergeCell ref="F59:H59"/>
    <mergeCell ref="F53:I53"/>
    <mergeCell ref="A54:E54"/>
    <mergeCell ref="A58:E58"/>
    <mergeCell ref="A59:E59"/>
    <mergeCell ref="A28:E28"/>
    <mergeCell ref="A29:E29"/>
    <mergeCell ref="A57:H57"/>
    <mergeCell ref="F55:I55"/>
    <mergeCell ref="A30:E30"/>
    <mergeCell ref="A32:E32"/>
    <mergeCell ref="A49:E49"/>
    <mergeCell ref="A33:E33"/>
    <mergeCell ref="A41:E41"/>
    <mergeCell ref="A27:E27"/>
    <mergeCell ref="A25:E25"/>
    <mergeCell ref="A1:I1"/>
    <mergeCell ref="F2:G2"/>
    <mergeCell ref="D2:E2"/>
    <mergeCell ref="A16:C16"/>
    <mergeCell ref="A17:C17"/>
    <mergeCell ref="A18:C18"/>
    <mergeCell ref="A19:C19"/>
    <mergeCell ref="A24:I24"/>
    <mergeCell ref="H2:I2"/>
    <mergeCell ref="A2:C3"/>
    <mergeCell ref="A6:C6"/>
    <mergeCell ref="A7:C7"/>
    <mergeCell ref="A5:D5"/>
    <mergeCell ref="A79:B79"/>
    <mergeCell ref="A8:C8"/>
    <mergeCell ref="A9:C9"/>
    <mergeCell ref="A10:C10"/>
    <mergeCell ref="A11:C11"/>
    <mergeCell ref="A12:C12"/>
    <mergeCell ref="A44:E44"/>
    <mergeCell ref="A47:E47"/>
    <mergeCell ref="A46:E46"/>
    <mergeCell ref="A45:E45"/>
    <mergeCell ref="A31:E31"/>
    <mergeCell ref="A34:E34"/>
    <mergeCell ref="A43:E43"/>
    <mergeCell ref="A39:E39"/>
    <mergeCell ref="A40:E40"/>
    <mergeCell ref="A26:E26"/>
    <mergeCell ref="F66:G66"/>
    <mergeCell ref="D66:E66"/>
    <mergeCell ref="A15:C15"/>
    <mergeCell ref="A20:C20"/>
    <mergeCell ref="A21:C21"/>
    <mergeCell ref="A22:C22"/>
    <mergeCell ref="A37:E37"/>
    <mergeCell ref="A35:E35"/>
    <mergeCell ref="A38:E38"/>
    <mergeCell ref="A36:E36"/>
    <mergeCell ref="F54:I54"/>
    <mergeCell ref="A52:I52"/>
    <mergeCell ref="A53:E53"/>
    <mergeCell ref="A42:E42"/>
    <mergeCell ref="A48:E48"/>
    <mergeCell ref="A55:E55"/>
  </mergeCells>
  <phoneticPr fontId="9" type="noConversion"/>
  <conditionalFormatting sqref="H6:I22 I26:I49">
    <cfRule type="cellIs" dxfId="0" priority="1" stopIfTrue="1" operator="equal">
      <formula>"норма"</formula>
    </cfRule>
  </conditionalFormatting>
  <dataValidations count="2">
    <dataValidation type="list" allowBlank="1" showInputMessage="1" showErrorMessage="1" sqref="F53:I53">
      <formula1>$A$68:$A$73</formula1>
    </dataValidation>
    <dataValidation type="list" allowBlank="1" showInputMessage="1" showErrorMessage="1" sqref="F55:I55">
      <formula1>$A$80:$A$99</formula1>
    </dataValidation>
  </dataValidations>
  <printOptions horizontalCentered="1"/>
  <pageMargins left="0" right="0" top="0.59055118110236227" bottom="0.39370078740157483" header="0.11811023622047245" footer="0.11811023622047245"/>
  <pageSetup paperSize="8" scale="96" orientation="landscape" r:id="rId1"/>
  <headerFooter alignWithMargins="0">
    <oddFooter>&amp;L&amp;F&amp;C&amp;A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43"/>
  <sheetViews>
    <sheetView zoomScale="90" zoomScaleNormal="90" workbookViewId="0">
      <selection activeCell="E6" sqref="E6"/>
    </sheetView>
  </sheetViews>
  <sheetFormatPr defaultRowHeight="12.75" x14ac:dyDescent="0.2"/>
  <cols>
    <col min="1" max="1" width="9.33203125" style="94"/>
    <col min="2" max="2" width="100.83203125" style="94" customWidth="1"/>
    <col min="3" max="4" width="9.33203125" style="94"/>
    <col min="5" max="5" width="100.83203125" style="94" customWidth="1"/>
    <col min="6" max="16384" width="9.33203125" style="94"/>
  </cols>
  <sheetData>
    <row r="1" spans="1:5" x14ac:dyDescent="0.2">
      <c r="A1" s="955" t="s">
        <v>146</v>
      </c>
      <c r="B1" s="955"/>
      <c r="D1" s="955" t="s">
        <v>0</v>
      </c>
      <c r="E1" s="955"/>
    </row>
    <row r="2" spans="1:5" ht="25.5" x14ac:dyDescent="0.2">
      <c r="A2" s="96" t="s">
        <v>84</v>
      </c>
      <c r="B2" s="91" t="s">
        <v>292</v>
      </c>
      <c r="D2" s="122" t="s">
        <v>379</v>
      </c>
      <c r="E2" s="91" t="s">
        <v>305</v>
      </c>
    </row>
    <row r="3" spans="1:5" ht="25.5" x14ac:dyDescent="0.2">
      <c r="A3" s="96" t="s">
        <v>85</v>
      </c>
      <c r="B3" s="91" t="s">
        <v>301</v>
      </c>
      <c r="D3" s="122" t="s">
        <v>380</v>
      </c>
      <c r="E3" s="91" t="s">
        <v>306</v>
      </c>
    </row>
    <row r="4" spans="1:5" x14ac:dyDescent="0.2">
      <c r="A4" s="96" t="s">
        <v>86</v>
      </c>
      <c r="B4" s="91" t="s">
        <v>289</v>
      </c>
      <c r="D4" s="122" t="s">
        <v>381</v>
      </c>
      <c r="E4" s="97" t="s">
        <v>378</v>
      </c>
    </row>
    <row r="5" spans="1:5" ht="25.5" x14ac:dyDescent="0.2">
      <c r="A5" s="96" t="s">
        <v>87</v>
      </c>
      <c r="B5" s="91" t="s">
        <v>290</v>
      </c>
      <c r="D5" s="122" t="s">
        <v>382</v>
      </c>
      <c r="E5" s="91" t="s">
        <v>307</v>
      </c>
    </row>
    <row r="6" spans="1:5" ht="27" customHeight="1" x14ac:dyDescent="0.2">
      <c r="A6" s="96" t="s">
        <v>88</v>
      </c>
      <c r="B6" s="91" t="s">
        <v>302</v>
      </c>
      <c r="D6" s="122" t="s">
        <v>383</v>
      </c>
      <c r="E6" s="91" t="s">
        <v>308</v>
      </c>
    </row>
    <row r="7" spans="1:5" x14ac:dyDescent="0.2">
      <c r="A7" s="96" t="s">
        <v>89</v>
      </c>
      <c r="B7" s="91" t="s">
        <v>303</v>
      </c>
      <c r="D7" s="122" t="s">
        <v>384</v>
      </c>
      <c r="E7" s="91" t="s">
        <v>309</v>
      </c>
    </row>
    <row r="8" spans="1:5" ht="25.5" x14ac:dyDescent="0.2">
      <c r="A8" s="96" t="s">
        <v>90</v>
      </c>
      <c r="B8" s="97" t="s">
        <v>376</v>
      </c>
      <c r="D8" s="122" t="s">
        <v>385</v>
      </c>
      <c r="E8" s="91" t="s">
        <v>310</v>
      </c>
    </row>
    <row r="9" spans="1:5" ht="25.5" x14ac:dyDescent="0.2">
      <c r="A9" s="96" t="s">
        <v>91</v>
      </c>
      <c r="B9" s="97" t="s">
        <v>377</v>
      </c>
      <c r="D9" s="122" t="s">
        <v>386</v>
      </c>
      <c r="E9" s="91" t="s">
        <v>311</v>
      </c>
    </row>
    <row r="10" spans="1:5" x14ac:dyDescent="0.2">
      <c r="A10" s="96" t="s">
        <v>92</v>
      </c>
      <c r="B10" s="97" t="s">
        <v>291</v>
      </c>
      <c r="D10" s="122" t="s">
        <v>387</v>
      </c>
      <c r="E10" s="91" t="s">
        <v>312</v>
      </c>
    </row>
    <row r="11" spans="1:5" ht="25.5" x14ac:dyDescent="0.2">
      <c r="A11" s="193" t="s">
        <v>93</v>
      </c>
      <c r="B11" s="194" t="s">
        <v>304</v>
      </c>
      <c r="D11" s="122" t="s">
        <v>388</v>
      </c>
      <c r="E11" s="91" t="s">
        <v>313</v>
      </c>
    </row>
    <row r="12" spans="1:5" ht="25.5" x14ac:dyDescent="0.2">
      <c r="A12" s="197"/>
      <c r="B12" s="198"/>
      <c r="D12" s="122" t="s">
        <v>389</v>
      </c>
      <c r="E12" s="91" t="s">
        <v>332</v>
      </c>
    </row>
    <row r="13" spans="1:5" ht="25.5" x14ac:dyDescent="0.2">
      <c r="A13" s="195"/>
      <c r="B13" s="166"/>
      <c r="D13" s="122" t="s">
        <v>390</v>
      </c>
      <c r="E13" s="91" t="s">
        <v>314</v>
      </c>
    </row>
    <row r="14" spans="1:5" x14ac:dyDescent="0.2">
      <c r="A14" s="195"/>
      <c r="B14" s="92"/>
      <c r="D14" s="122" t="s">
        <v>391</v>
      </c>
      <c r="E14" s="91" t="s">
        <v>315</v>
      </c>
    </row>
    <row r="15" spans="1:5" x14ac:dyDescent="0.2">
      <c r="A15" s="195"/>
      <c r="B15" s="92"/>
      <c r="D15" s="122" t="s">
        <v>392</v>
      </c>
      <c r="E15" s="91" t="s">
        <v>316</v>
      </c>
    </row>
    <row r="16" spans="1:5" x14ac:dyDescent="0.2">
      <c r="A16" s="195"/>
      <c r="B16" s="92"/>
      <c r="D16" s="122" t="s">
        <v>393</v>
      </c>
      <c r="E16" s="91" t="s">
        <v>317</v>
      </c>
    </row>
    <row r="17" spans="1:2" x14ac:dyDescent="0.2">
      <c r="A17" s="196"/>
      <c r="B17" s="92"/>
    </row>
    <row r="18" spans="1:2" x14ac:dyDescent="0.2">
      <c r="A18" s="95"/>
      <c r="B18" s="92"/>
    </row>
    <row r="19" spans="1:2" x14ac:dyDescent="0.2">
      <c r="A19" s="95"/>
      <c r="B19" s="92"/>
    </row>
    <row r="20" spans="1:2" ht="13.5" x14ac:dyDescent="0.2">
      <c r="A20" s="93"/>
      <c r="B20" s="98"/>
    </row>
    <row r="21" spans="1:2" x14ac:dyDescent="0.2">
      <c r="A21" s="95"/>
      <c r="B21" s="98"/>
    </row>
    <row r="22" spans="1:2" x14ac:dyDescent="0.2">
      <c r="A22" s="95"/>
      <c r="B22" s="98"/>
    </row>
    <row r="23" spans="1:2" x14ac:dyDescent="0.2">
      <c r="A23" s="95"/>
      <c r="B23" s="98"/>
    </row>
    <row r="24" spans="1:2" x14ac:dyDescent="0.2">
      <c r="A24" s="95"/>
      <c r="B24" s="98"/>
    </row>
    <row r="25" spans="1:2" x14ac:dyDescent="0.2">
      <c r="A25" s="95"/>
      <c r="B25" s="98"/>
    </row>
    <row r="26" spans="1:2" ht="13.5" x14ac:dyDescent="0.2">
      <c r="A26" s="93"/>
      <c r="B26" s="98"/>
    </row>
    <row r="27" spans="1:2" x14ac:dyDescent="0.2">
      <c r="A27" s="95"/>
      <c r="B27" s="98"/>
    </row>
    <row r="28" spans="1:2" x14ac:dyDescent="0.2">
      <c r="A28" s="95"/>
      <c r="B28" s="98"/>
    </row>
    <row r="29" spans="1:2" x14ac:dyDescent="0.2">
      <c r="A29" s="95"/>
      <c r="B29" s="98"/>
    </row>
    <row r="30" spans="1:2" x14ac:dyDescent="0.2">
      <c r="A30" s="95"/>
      <c r="B30" s="98"/>
    </row>
    <row r="31" spans="1:2" x14ac:dyDescent="0.2">
      <c r="A31" s="92"/>
      <c r="B31" s="98"/>
    </row>
    <row r="32" spans="1:2" x14ac:dyDescent="0.2">
      <c r="A32" s="95"/>
      <c r="B32" s="98"/>
    </row>
    <row r="33" spans="1:2" x14ac:dyDescent="0.2">
      <c r="A33" s="95"/>
      <c r="B33" s="98"/>
    </row>
    <row r="34" spans="1:2" x14ac:dyDescent="0.2">
      <c r="B34" s="98"/>
    </row>
    <row r="35" spans="1:2" x14ac:dyDescent="0.2">
      <c r="B35" s="98"/>
    </row>
    <row r="36" spans="1:2" x14ac:dyDescent="0.2">
      <c r="B36" s="98"/>
    </row>
    <row r="37" spans="1:2" x14ac:dyDescent="0.2">
      <c r="B37" s="98"/>
    </row>
    <row r="38" spans="1:2" x14ac:dyDescent="0.2">
      <c r="B38" s="98"/>
    </row>
    <row r="39" spans="1:2" x14ac:dyDescent="0.2">
      <c r="B39" s="98"/>
    </row>
    <row r="40" spans="1:2" x14ac:dyDescent="0.2">
      <c r="B40" s="98"/>
    </row>
    <row r="41" spans="1:2" x14ac:dyDescent="0.2">
      <c r="B41" s="98"/>
    </row>
    <row r="42" spans="1:2" x14ac:dyDescent="0.2">
      <c r="B42" s="98"/>
    </row>
    <row r="43" spans="1:2" x14ac:dyDescent="0.2">
      <c r="B43" s="99"/>
    </row>
  </sheetData>
  <sheetProtection password="CF70" sheet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orientation="landscape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="90" zoomScaleNormal="90" workbookViewId="0">
      <selection activeCell="B19" sqref="B19"/>
    </sheetView>
  </sheetViews>
  <sheetFormatPr defaultColWidth="36" defaultRowHeight="12.75" x14ac:dyDescent="0.2"/>
  <cols>
    <col min="1" max="1" width="4.5" style="94" customWidth="1"/>
    <col min="2" max="2" width="32.1640625" style="94" customWidth="1"/>
    <col min="3" max="3" width="92.33203125" style="94" customWidth="1"/>
    <col min="4" max="16384" width="36" style="94"/>
  </cols>
  <sheetData>
    <row r="1" spans="1:4" ht="12.75" customHeight="1" x14ac:dyDescent="0.2">
      <c r="A1" s="956" t="s">
        <v>147</v>
      </c>
      <c r="B1" s="956"/>
      <c r="C1" s="956"/>
    </row>
    <row r="2" spans="1:4" x14ac:dyDescent="0.2">
      <c r="A2" s="106" t="s">
        <v>35</v>
      </c>
      <c r="B2" s="106" t="s">
        <v>148</v>
      </c>
      <c r="C2" s="106" t="s">
        <v>9</v>
      </c>
    </row>
    <row r="3" spans="1:4" x14ac:dyDescent="0.2">
      <c r="A3" s="491">
        <v>1</v>
      </c>
      <c r="B3" s="492" t="s">
        <v>217</v>
      </c>
      <c r="C3" s="493" t="s">
        <v>561</v>
      </c>
    </row>
    <row r="4" spans="1:4" x14ac:dyDescent="0.2">
      <c r="A4" s="107">
        <v>2</v>
      </c>
      <c r="B4" s="124" t="s">
        <v>217</v>
      </c>
      <c r="C4" s="123" t="s">
        <v>218</v>
      </c>
    </row>
    <row r="5" spans="1:4" x14ac:dyDescent="0.2">
      <c r="A5" s="491">
        <v>3</v>
      </c>
      <c r="B5" s="124" t="s">
        <v>217</v>
      </c>
      <c r="C5" s="123" t="s">
        <v>318</v>
      </c>
    </row>
    <row r="6" spans="1:4" x14ac:dyDescent="0.2">
      <c r="A6" s="107">
        <v>4</v>
      </c>
      <c r="B6" s="124" t="s">
        <v>217</v>
      </c>
      <c r="C6" s="123" t="s">
        <v>219</v>
      </c>
    </row>
    <row r="7" spans="1:4" x14ac:dyDescent="0.2">
      <c r="A7" s="491">
        <v>5</v>
      </c>
      <c r="B7" s="124" t="s">
        <v>217</v>
      </c>
      <c r="C7" s="123" t="s">
        <v>319</v>
      </c>
    </row>
    <row r="8" spans="1:4" x14ac:dyDescent="0.2">
      <c r="A8" s="107">
        <v>6</v>
      </c>
      <c r="B8" s="124" t="s">
        <v>217</v>
      </c>
      <c r="C8" s="123" t="s">
        <v>320</v>
      </c>
    </row>
    <row r="9" spans="1:4" x14ac:dyDescent="0.2">
      <c r="A9" s="491">
        <v>7</v>
      </c>
      <c r="B9" s="124" t="s">
        <v>217</v>
      </c>
      <c r="C9" s="123" t="s">
        <v>220</v>
      </c>
    </row>
    <row r="10" spans="1:4" x14ac:dyDescent="0.2">
      <c r="A10" s="107">
        <v>8</v>
      </c>
      <c r="B10" s="124" t="s">
        <v>217</v>
      </c>
      <c r="C10" s="123" t="s">
        <v>321</v>
      </c>
    </row>
    <row r="11" spans="1:4" x14ac:dyDescent="0.2">
      <c r="A11" s="491">
        <v>9</v>
      </c>
      <c r="B11" s="124" t="s">
        <v>217</v>
      </c>
      <c r="C11" s="123" t="s">
        <v>322</v>
      </c>
    </row>
    <row r="12" spans="1:4" x14ac:dyDescent="0.2">
      <c r="A12" s="107">
        <v>10</v>
      </c>
      <c r="B12" s="124" t="s">
        <v>217</v>
      </c>
      <c r="C12" s="123" t="s">
        <v>323</v>
      </c>
    </row>
    <row r="13" spans="1:4" x14ac:dyDescent="0.2">
      <c r="A13" s="491">
        <v>11</v>
      </c>
      <c r="B13" s="124" t="s">
        <v>217</v>
      </c>
      <c r="C13" s="123" t="s">
        <v>324</v>
      </c>
      <c r="D13" s="94" t="s">
        <v>26</v>
      </c>
    </row>
    <row r="14" spans="1:4" x14ac:dyDescent="0.2">
      <c r="A14" s="107">
        <v>12</v>
      </c>
      <c r="B14" s="124" t="s">
        <v>217</v>
      </c>
      <c r="C14" s="123" t="s">
        <v>325</v>
      </c>
    </row>
    <row r="15" spans="1:4" x14ac:dyDescent="0.2">
      <c r="A15" s="491">
        <v>13</v>
      </c>
      <c r="B15" s="124" t="s">
        <v>217</v>
      </c>
      <c r="C15" s="123" t="s">
        <v>394</v>
      </c>
    </row>
    <row r="16" spans="1:4" x14ac:dyDescent="0.2">
      <c r="A16" s="107">
        <v>14</v>
      </c>
      <c r="B16" s="124" t="s">
        <v>217</v>
      </c>
      <c r="C16" s="123" t="s">
        <v>395</v>
      </c>
    </row>
    <row r="17" spans="1:3" x14ac:dyDescent="0.2">
      <c r="A17" s="491">
        <v>15</v>
      </c>
      <c r="B17" s="124" t="s">
        <v>217</v>
      </c>
      <c r="C17" s="123" t="s">
        <v>327</v>
      </c>
    </row>
    <row r="18" spans="1:3" x14ac:dyDescent="0.2">
      <c r="A18" s="107">
        <v>16</v>
      </c>
      <c r="B18" s="124" t="s">
        <v>221</v>
      </c>
      <c r="C18" s="123" t="s">
        <v>396</v>
      </c>
    </row>
    <row r="19" spans="1:3" x14ac:dyDescent="0.2">
      <c r="A19" s="491">
        <v>17</v>
      </c>
      <c r="B19" s="124" t="s">
        <v>221</v>
      </c>
      <c r="C19" s="123" t="s">
        <v>326</v>
      </c>
    </row>
    <row r="20" spans="1:3" x14ac:dyDescent="0.2">
      <c r="A20" s="107">
        <v>18</v>
      </c>
      <c r="B20" s="124" t="s">
        <v>328</v>
      </c>
      <c r="C20" s="123" t="s">
        <v>329</v>
      </c>
    </row>
    <row r="21" spans="1:3" x14ac:dyDescent="0.2">
      <c r="A21" s="491">
        <v>19</v>
      </c>
      <c r="B21" s="124" t="s">
        <v>328</v>
      </c>
      <c r="C21" s="123" t="s">
        <v>397</v>
      </c>
    </row>
    <row r="22" spans="1:3" x14ac:dyDescent="0.2">
      <c r="A22" s="107">
        <v>20</v>
      </c>
      <c r="B22" s="125" t="s">
        <v>330</v>
      </c>
      <c r="C22" s="123" t="s">
        <v>331</v>
      </c>
    </row>
    <row r="23" spans="1:3" x14ac:dyDescent="0.2">
      <c r="A23" s="491">
        <v>21</v>
      </c>
      <c r="B23" s="123" t="s">
        <v>222</v>
      </c>
      <c r="C23" s="123" t="s">
        <v>225</v>
      </c>
    </row>
    <row r="24" spans="1:3" x14ac:dyDescent="0.2">
      <c r="A24" s="107">
        <v>22</v>
      </c>
      <c r="B24" s="123" t="s">
        <v>222</v>
      </c>
      <c r="C24" s="123" t="s">
        <v>226</v>
      </c>
    </row>
    <row r="25" spans="1:3" x14ac:dyDescent="0.2">
      <c r="A25" s="491">
        <v>23</v>
      </c>
      <c r="B25" s="123" t="s">
        <v>222</v>
      </c>
      <c r="C25" s="123" t="s">
        <v>227</v>
      </c>
    </row>
    <row r="26" spans="1:3" x14ac:dyDescent="0.2">
      <c r="A26" s="107">
        <v>24</v>
      </c>
      <c r="B26" s="125" t="s">
        <v>223</v>
      </c>
      <c r="C26" s="123" t="s">
        <v>228</v>
      </c>
    </row>
    <row r="27" spans="1:3" x14ac:dyDescent="0.2">
      <c r="A27" s="491">
        <v>25</v>
      </c>
      <c r="B27" s="125" t="s">
        <v>223</v>
      </c>
      <c r="C27" s="123" t="s">
        <v>224</v>
      </c>
    </row>
    <row r="28" spans="1:3" x14ac:dyDescent="0.2">
      <c r="C28" s="98"/>
    </row>
    <row r="29" spans="1:3" x14ac:dyDescent="0.2">
      <c r="C29" s="98"/>
    </row>
    <row r="30" spans="1:3" x14ac:dyDescent="0.2">
      <c r="C30" s="98"/>
    </row>
    <row r="31" spans="1:3" x14ac:dyDescent="0.2">
      <c r="C31" s="98"/>
    </row>
    <row r="32" spans="1:3" x14ac:dyDescent="0.2">
      <c r="C32" s="98"/>
    </row>
    <row r="33" spans="3:3" x14ac:dyDescent="0.2">
      <c r="C33" s="98"/>
    </row>
    <row r="34" spans="3:3" x14ac:dyDescent="0.2">
      <c r="C34" s="98"/>
    </row>
    <row r="35" spans="3:3" x14ac:dyDescent="0.2">
      <c r="C35" s="98"/>
    </row>
    <row r="36" spans="3:3" x14ac:dyDescent="0.2">
      <c r="C36" s="98"/>
    </row>
    <row r="37" spans="3:3" x14ac:dyDescent="0.2">
      <c r="C37" s="98"/>
    </row>
    <row r="38" spans="3:3" x14ac:dyDescent="0.2">
      <c r="C38" s="98"/>
    </row>
    <row r="39" spans="3:3" x14ac:dyDescent="0.2">
      <c r="C39" s="98"/>
    </row>
    <row r="40" spans="3:3" x14ac:dyDescent="0.2">
      <c r="C40" s="98"/>
    </row>
    <row r="41" spans="3:3" x14ac:dyDescent="0.2">
      <c r="C41" s="98"/>
    </row>
    <row r="42" spans="3:3" x14ac:dyDescent="0.2">
      <c r="C42" s="98"/>
    </row>
    <row r="43" spans="3:3" x14ac:dyDescent="0.2">
      <c r="C43" s="98"/>
    </row>
    <row r="44" spans="3:3" x14ac:dyDescent="0.2">
      <c r="C44" s="98"/>
    </row>
    <row r="45" spans="3:3" x14ac:dyDescent="0.2">
      <c r="C45" s="98"/>
    </row>
    <row r="46" spans="3:3" x14ac:dyDescent="0.2">
      <c r="C46" s="99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fitToHeight="100" orientation="landscape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53"/>
  <sheetViews>
    <sheetView topLeftCell="A22" zoomScale="80" zoomScaleNormal="80" workbookViewId="0">
      <selection activeCell="C43" sqref="C43"/>
    </sheetView>
  </sheetViews>
  <sheetFormatPr defaultRowHeight="12.75" x14ac:dyDescent="0.2"/>
  <cols>
    <col min="1" max="1" width="4.5" style="111" customWidth="1"/>
    <col min="2" max="2" width="92.33203125" style="111" customWidth="1"/>
    <col min="3" max="3" width="51.5" style="111" customWidth="1"/>
    <col min="4" max="16384" width="9.33203125" style="111"/>
  </cols>
  <sheetData>
    <row r="1" spans="1:3" ht="12.75" customHeight="1" x14ac:dyDescent="0.2">
      <c r="A1" s="956" t="s">
        <v>149</v>
      </c>
      <c r="B1" s="956"/>
      <c r="C1" s="956"/>
    </row>
    <row r="2" spans="1:3" x14ac:dyDescent="0.2">
      <c r="A2" s="106" t="s">
        <v>35</v>
      </c>
      <c r="B2" s="106" t="s">
        <v>150</v>
      </c>
      <c r="C2" s="106" t="s">
        <v>36</v>
      </c>
    </row>
    <row r="3" spans="1:3" x14ac:dyDescent="0.2">
      <c r="A3" s="202">
        <v>1</v>
      </c>
      <c r="B3" s="400" t="s">
        <v>357</v>
      </c>
      <c r="C3" s="401" t="s">
        <v>518</v>
      </c>
    </row>
    <row r="4" spans="1:3" x14ac:dyDescent="0.2">
      <c r="A4" s="202">
        <v>2</v>
      </c>
      <c r="B4" s="400" t="s">
        <v>358</v>
      </c>
      <c r="C4" s="401" t="s">
        <v>519</v>
      </c>
    </row>
    <row r="5" spans="1:3" x14ac:dyDescent="0.2">
      <c r="A5" s="202">
        <v>3</v>
      </c>
      <c r="B5" s="400" t="s">
        <v>520</v>
      </c>
      <c r="C5" s="401" t="s">
        <v>521</v>
      </c>
    </row>
    <row r="6" spans="1:3" x14ac:dyDescent="0.2">
      <c r="A6" s="202">
        <v>4</v>
      </c>
      <c r="B6" s="400" t="s">
        <v>359</v>
      </c>
      <c r="C6" s="401" t="s">
        <v>522</v>
      </c>
    </row>
    <row r="7" spans="1:3" x14ac:dyDescent="0.2">
      <c r="A7" s="202">
        <v>5</v>
      </c>
      <c r="B7" s="400" t="s">
        <v>360</v>
      </c>
      <c r="C7" s="401" t="s">
        <v>523</v>
      </c>
    </row>
    <row r="8" spans="1:3" ht="25.5" x14ac:dyDescent="0.2">
      <c r="A8" s="202">
        <v>6</v>
      </c>
      <c r="B8" s="400" t="s">
        <v>361</v>
      </c>
      <c r="C8" s="401" t="s">
        <v>524</v>
      </c>
    </row>
    <row r="9" spans="1:3" x14ac:dyDescent="0.2">
      <c r="A9" s="202">
        <v>7</v>
      </c>
      <c r="B9" s="400" t="s">
        <v>362</v>
      </c>
      <c r="C9" s="401" t="s">
        <v>525</v>
      </c>
    </row>
    <row r="10" spans="1:3" x14ac:dyDescent="0.2">
      <c r="A10" s="202">
        <v>8</v>
      </c>
      <c r="B10" s="400" t="s">
        <v>526</v>
      </c>
      <c r="C10" s="401" t="s">
        <v>527</v>
      </c>
    </row>
    <row r="11" spans="1:3" ht="25.5" x14ac:dyDescent="0.2">
      <c r="A11" s="202">
        <v>9</v>
      </c>
      <c r="B11" s="400" t="s">
        <v>528</v>
      </c>
      <c r="C11" s="401" t="s">
        <v>529</v>
      </c>
    </row>
    <row r="12" spans="1:3" x14ac:dyDescent="0.2">
      <c r="A12" s="202">
        <v>10</v>
      </c>
      <c r="B12" s="402" t="s">
        <v>486</v>
      </c>
      <c r="C12" s="199">
        <v>31</v>
      </c>
    </row>
    <row r="13" spans="1:3" x14ac:dyDescent="0.2">
      <c r="A13" s="202">
        <v>11</v>
      </c>
      <c r="B13" s="400" t="s">
        <v>530</v>
      </c>
      <c r="C13" s="403">
        <v>33</v>
      </c>
    </row>
    <row r="14" spans="1:3" x14ac:dyDescent="0.2">
      <c r="A14" s="203"/>
      <c r="B14" s="204"/>
      <c r="C14" s="205"/>
    </row>
    <row r="15" spans="1:3" x14ac:dyDescent="0.2">
      <c r="A15" s="956" t="s">
        <v>142</v>
      </c>
      <c r="B15" s="956"/>
      <c r="C15" s="956"/>
    </row>
    <row r="16" spans="1:3" x14ac:dyDescent="0.2">
      <c r="A16" s="106" t="s">
        <v>35</v>
      </c>
      <c r="B16" s="106" t="s">
        <v>151</v>
      </c>
      <c r="C16" s="106" t="s">
        <v>36</v>
      </c>
    </row>
    <row r="17" spans="1:3" x14ac:dyDescent="0.2">
      <c r="A17" s="202">
        <v>1</v>
      </c>
      <c r="B17" s="108" t="s">
        <v>342</v>
      </c>
      <c r="C17" s="109">
        <v>64</v>
      </c>
    </row>
    <row r="18" spans="1:3" x14ac:dyDescent="0.2">
      <c r="A18" s="202">
        <v>2</v>
      </c>
      <c r="B18" s="402" t="s">
        <v>532</v>
      </c>
      <c r="C18" s="199">
        <v>5</v>
      </c>
    </row>
    <row r="20" spans="1:3" x14ac:dyDescent="0.2">
      <c r="A20" s="956" t="s">
        <v>103</v>
      </c>
      <c r="B20" s="956"/>
      <c r="C20" s="956"/>
    </row>
    <row r="21" spans="1:3" x14ac:dyDescent="0.2">
      <c r="A21" s="106" t="s">
        <v>35</v>
      </c>
      <c r="B21" s="106" t="s">
        <v>9</v>
      </c>
      <c r="C21" s="106" t="s">
        <v>104</v>
      </c>
    </row>
    <row r="22" spans="1:3" x14ac:dyDescent="0.2">
      <c r="A22" s="202">
        <v>1</v>
      </c>
      <c r="B22" s="206" t="s">
        <v>214</v>
      </c>
      <c r="C22" s="202" t="s">
        <v>213</v>
      </c>
    </row>
    <row r="23" spans="1:3" hidden="1" x14ac:dyDescent="0.2">
      <c r="B23" s="112"/>
    </row>
    <row r="24" spans="1:3" hidden="1" x14ac:dyDescent="0.2">
      <c r="A24" s="959" t="s">
        <v>363</v>
      </c>
      <c r="B24" s="959"/>
      <c r="C24" s="959"/>
    </row>
    <row r="25" spans="1:3" hidden="1" x14ac:dyDescent="0.2">
      <c r="A25" s="113" t="s">
        <v>35</v>
      </c>
      <c r="B25" s="405" t="s">
        <v>533</v>
      </c>
      <c r="C25" s="113" t="s">
        <v>345</v>
      </c>
    </row>
    <row r="26" spans="1:3" ht="14.25" hidden="1" customHeight="1" x14ac:dyDescent="0.2">
      <c r="A26" s="109">
        <v>1</v>
      </c>
      <c r="B26" s="108" t="s">
        <v>459</v>
      </c>
      <c r="C26" s="110" t="s">
        <v>346</v>
      </c>
    </row>
    <row r="27" spans="1:3" hidden="1" x14ac:dyDescent="0.2">
      <c r="A27" s="109">
        <v>2</v>
      </c>
      <c r="B27" s="108" t="s">
        <v>460</v>
      </c>
      <c r="C27" s="110" t="s">
        <v>347</v>
      </c>
    </row>
    <row r="28" spans="1:3" hidden="1" x14ac:dyDescent="0.2">
      <c r="A28" s="109">
        <v>3</v>
      </c>
      <c r="B28" s="110" t="s">
        <v>337</v>
      </c>
      <c r="C28" s="110" t="s">
        <v>193</v>
      </c>
    </row>
    <row r="29" spans="1:3" hidden="1" x14ac:dyDescent="0.2">
      <c r="A29" s="109">
        <v>4</v>
      </c>
      <c r="B29" s="108" t="s">
        <v>195</v>
      </c>
      <c r="C29" s="110" t="s">
        <v>194</v>
      </c>
    </row>
    <row r="31" spans="1:3" ht="12.75" customHeight="1" x14ac:dyDescent="0.2">
      <c r="A31" s="959" t="s">
        <v>348</v>
      </c>
      <c r="B31" s="959"/>
      <c r="C31" s="959"/>
    </row>
    <row r="32" spans="1:3" x14ac:dyDescent="0.2">
      <c r="A32" s="113" t="s">
        <v>35</v>
      </c>
      <c r="B32" s="113" t="s">
        <v>349</v>
      </c>
      <c r="C32" s="113" t="s">
        <v>345</v>
      </c>
    </row>
    <row r="33" spans="1:3" x14ac:dyDescent="0.2">
      <c r="A33" s="109">
        <v>1</v>
      </c>
      <c r="B33" s="108" t="s">
        <v>553</v>
      </c>
      <c r="C33" s="108" t="s">
        <v>556</v>
      </c>
    </row>
    <row r="34" spans="1:3" x14ac:dyDescent="0.2">
      <c r="A34" s="109">
        <v>2</v>
      </c>
      <c r="B34" s="108" t="s">
        <v>554</v>
      </c>
      <c r="C34" s="108" t="s">
        <v>555</v>
      </c>
    </row>
    <row r="35" spans="1:3" x14ac:dyDescent="0.2">
      <c r="A35" s="109">
        <v>3</v>
      </c>
      <c r="B35" s="108" t="s">
        <v>534</v>
      </c>
      <c r="C35" s="108" t="s">
        <v>488</v>
      </c>
    </row>
    <row r="36" spans="1:3" x14ac:dyDescent="0.2">
      <c r="A36" s="109">
        <v>4</v>
      </c>
      <c r="B36" s="108" t="s">
        <v>557</v>
      </c>
      <c r="C36" s="108" t="s">
        <v>488</v>
      </c>
    </row>
    <row r="37" spans="1:3" x14ac:dyDescent="0.2">
      <c r="A37" s="109">
        <v>5</v>
      </c>
      <c r="B37" s="108" t="s">
        <v>558</v>
      </c>
      <c r="C37" s="108" t="s">
        <v>488</v>
      </c>
    </row>
    <row r="38" spans="1:3" x14ac:dyDescent="0.2">
      <c r="A38" s="959" t="s">
        <v>437</v>
      </c>
      <c r="B38" s="959"/>
      <c r="C38" s="959"/>
    </row>
    <row r="39" spans="1:3" x14ac:dyDescent="0.2">
      <c r="A39" s="113" t="s">
        <v>35</v>
      </c>
      <c r="B39" s="113" t="s">
        <v>344</v>
      </c>
      <c r="C39" s="207" t="s">
        <v>438</v>
      </c>
    </row>
    <row r="40" spans="1:3" x14ac:dyDescent="0.2">
      <c r="A40" s="109">
        <v>1</v>
      </c>
      <c r="B40" s="115" t="s">
        <v>499</v>
      </c>
      <c r="C40" s="114" t="s">
        <v>439</v>
      </c>
    </row>
    <row r="41" spans="1:3" x14ac:dyDescent="0.2">
      <c r="A41" s="109">
        <v>2</v>
      </c>
      <c r="B41" s="116" t="s">
        <v>440</v>
      </c>
      <c r="C41" s="404" t="s">
        <v>441</v>
      </c>
    </row>
    <row r="42" spans="1:3" x14ac:dyDescent="0.2">
      <c r="A42" s="109">
        <v>3</v>
      </c>
      <c r="B42" s="116" t="s">
        <v>442</v>
      </c>
      <c r="C42" s="404" t="s">
        <v>443</v>
      </c>
    </row>
    <row r="43" spans="1:3" x14ac:dyDescent="0.2">
      <c r="A43" s="109">
        <v>4</v>
      </c>
      <c r="B43" s="115" t="s">
        <v>253</v>
      </c>
      <c r="C43" s="114" t="s">
        <v>492</v>
      </c>
    </row>
    <row r="44" spans="1:3" x14ac:dyDescent="0.2">
      <c r="A44" s="109">
        <v>5</v>
      </c>
      <c r="B44" s="115" t="s">
        <v>482</v>
      </c>
      <c r="C44" s="114" t="s">
        <v>591</v>
      </c>
    </row>
    <row r="45" spans="1:3" x14ac:dyDescent="0.2">
      <c r="A45" s="109"/>
      <c r="B45" s="115" t="s">
        <v>133</v>
      </c>
      <c r="C45" s="114" t="s">
        <v>544</v>
      </c>
    </row>
    <row r="46" spans="1:3" x14ac:dyDescent="0.2">
      <c r="A46" s="109">
        <v>6</v>
      </c>
      <c r="B46" s="115" t="s">
        <v>483</v>
      </c>
      <c r="C46" s="114" t="s">
        <v>590</v>
      </c>
    </row>
    <row r="47" spans="1:3" x14ac:dyDescent="0.2">
      <c r="A47" s="208"/>
      <c r="B47" s="321"/>
      <c r="C47" s="209"/>
    </row>
    <row r="48" spans="1:3" x14ac:dyDescent="0.2">
      <c r="A48" s="208"/>
      <c r="B48" s="321"/>
      <c r="C48" s="209"/>
    </row>
    <row r="49" spans="1:3" ht="39.75" customHeight="1" x14ac:dyDescent="0.2">
      <c r="A49" s="208"/>
      <c r="B49" s="957" t="s">
        <v>444</v>
      </c>
      <c r="C49" s="957"/>
    </row>
    <row r="50" spans="1:3" x14ac:dyDescent="0.2">
      <c r="A50" s="208"/>
      <c r="B50" s="957"/>
      <c r="C50" s="957"/>
    </row>
    <row r="51" spans="1:3" x14ac:dyDescent="0.2">
      <c r="A51" s="208"/>
      <c r="B51" s="210"/>
      <c r="C51" s="210"/>
    </row>
    <row r="52" spans="1:3" x14ac:dyDescent="0.2">
      <c r="B52" s="958" t="s">
        <v>364</v>
      </c>
      <c r="C52" s="958"/>
    </row>
    <row r="53" spans="1:3" x14ac:dyDescent="0.2">
      <c r="B53" s="958" t="s">
        <v>365</v>
      </c>
      <c r="C53" s="958"/>
    </row>
  </sheetData>
  <sheetProtection formatCells="0" formatColumns="0" formatRows="0" insertColumns="0" insertRows="0" insertHyperlinks="0" deleteColumns="0" deleteRows="0" sort="0" autoFilter="0" pivotTables="0"/>
  <mergeCells count="9">
    <mergeCell ref="B49:C50"/>
    <mergeCell ref="B52:C52"/>
    <mergeCell ref="B53:C53"/>
    <mergeCell ref="A1:C1"/>
    <mergeCell ref="A31:C31"/>
    <mergeCell ref="A15:C15"/>
    <mergeCell ref="A20:C20"/>
    <mergeCell ref="A24:C24"/>
    <mergeCell ref="A38:C38"/>
  </mergeCells>
  <phoneticPr fontId="6" type="noConversion"/>
  <printOptions horizontalCentered="1"/>
  <pageMargins left="0" right="0" top="0.59055118110236227" bottom="0.39370078740157483" header="0.11811023622047245" footer="0.11811023622047245"/>
  <pageSetup paperSize="8" fitToHeight="10" orientation="landscape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67"/>
  <sheetViews>
    <sheetView showZeros="0" topLeftCell="B40" workbookViewId="0">
      <selection activeCell="Z55" sqref="Z55"/>
    </sheetView>
  </sheetViews>
  <sheetFormatPr defaultRowHeight="12.75" x14ac:dyDescent="0.2"/>
  <cols>
    <col min="1" max="1" width="17.6640625" hidden="1" customWidth="1"/>
    <col min="2" max="2" width="30.33203125" customWidth="1"/>
    <col min="3" max="3" width="16.83203125" hidden="1" customWidth="1"/>
    <col min="4" max="4" width="6" customWidth="1"/>
    <col min="5" max="5" width="6.33203125" customWidth="1"/>
    <col min="6" max="6" width="5.6640625" customWidth="1"/>
    <col min="7" max="8" width="5.5" customWidth="1"/>
    <col min="9" max="9" width="6.6640625" hidden="1" customWidth="1"/>
    <col min="10" max="10" width="7.5" hidden="1" customWidth="1"/>
    <col min="11" max="11" width="8.33203125" customWidth="1"/>
    <col min="12" max="12" width="8.33203125" hidden="1" customWidth="1"/>
    <col min="13" max="14" width="7.83203125" hidden="1" customWidth="1"/>
    <col min="15" max="15" width="7.1640625" hidden="1" customWidth="1"/>
    <col min="16" max="17" width="7.6640625" hidden="1" customWidth="1"/>
    <col min="18" max="18" width="6.33203125" hidden="1" customWidth="1"/>
    <col min="19" max="19" width="7.1640625" hidden="1" customWidth="1"/>
    <col min="21" max="21" width="5.83203125" customWidth="1"/>
    <col min="22" max="22" width="5.1640625" customWidth="1"/>
    <col min="23" max="23" width="4.33203125" customWidth="1"/>
    <col min="24" max="24" width="4.6640625" customWidth="1"/>
    <col min="25" max="25" width="5" customWidth="1"/>
    <col min="26" max="26" width="40" customWidth="1"/>
  </cols>
  <sheetData>
    <row r="1" spans="1:26" ht="30.75" x14ac:dyDescent="0.2">
      <c r="B1" s="1013" t="s">
        <v>475</v>
      </c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Z1" s="1013"/>
    </row>
    <row r="2" spans="1:26" ht="13.5" thickBot="1" x14ac:dyDescent="0.25"/>
    <row r="3" spans="1:26" ht="12.75" customHeight="1" x14ac:dyDescent="0.2">
      <c r="A3" s="963" t="s">
        <v>159</v>
      </c>
      <c r="B3" s="966" t="s">
        <v>73</v>
      </c>
      <c r="C3" s="887" t="s">
        <v>74</v>
      </c>
      <c r="D3" s="969" t="s">
        <v>4</v>
      </c>
      <c r="E3" s="970"/>
      <c r="F3" s="970"/>
      <c r="G3" s="970"/>
      <c r="H3" s="970"/>
      <c r="I3" s="971" t="s">
        <v>212</v>
      </c>
      <c r="J3" s="972"/>
      <c r="K3" s="365" t="s">
        <v>2</v>
      </c>
      <c r="L3" s="333"/>
      <c r="M3" s="333"/>
      <c r="N3" s="333"/>
      <c r="O3" s="333"/>
      <c r="P3" s="333"/>
      <c r="Q3" s="333"/>
      <c r="R3" s="333"/>
      <c r="S3" s="333"/>
      <c r="T3" s="375" t="s">
        <v>481</v>
      </c>
      <c r="U3" s="969" t="s">
        <v>4</v>
      </c>
      <c r="V3" s="970"/>
      <c r="W3" s="970"/>
      <c r="X3" s="970"/>
      <c r="Y3" s="970"/>
      <c r="Z3" s="1010" t="s">
        <v>73</v>
      </c>
    </row>
    <row r="4" spans="1:26" x14ac:dyDescent="0.2">
      <c r="A4" s="964"/>
      <c r="B4" s="967"/>
      <c r="C4" s="880"/>
      <c r="D4" s="873"/>
      <c r="E4" s="872"/>
      <c r="F4" s="872"/>
      <c r="G4" s="872"/>
      <c r="H4" s="872"/>
      <c r="I4" s="973"/>
      <c r="J4" s="974"/>
      <c r="K4" s="977" t="s">
        <v>474</v>
      </c>
      <c r="L4" s="859" t="s">
        <v>3</v>
      </c>
      <c r="M4" s="896"/>
      <c r="N4" s="896"/>
      <c r="O4" s="896"/>
      <c r="P4" s="896"/>
      <c r="Q4" s="896"/>
      <c r="R4" s="896"/>
      <c r="S4" s="847"/>
      <c r="T4" s="984" t="s">
        <v>473</v>
      </c>
      <c r="U4" s="873"/>
      <c r="V4" s="872"/>
      <c r="W4" s="872"/>
      <c r="X4" s="872"/>
      <c r="Y4" s="872"/>
      <c r="Z4" s="1011"/>
    </row>
    <row r="5" spans="1:26" x14ac:dyDescent="0.2">
      <c r="A5" s="964"/>
      <c r="B5" s="967"/>
      <c r="C5" s="880"/>
      <c r="D5" s="860" t="s">
        <v>63</v>
      </c>
      <c r="E5" s="860" t="s">
        <v>64</v>
      </c>
      <c r="F5" s="860" t="s">
        <v>65</v>
      </c>
      <c r="G5" s="860" t="s">
        <v>66</v>
      </c>
      <c r="H5" s="1014" t="s">
        <v>67</v>
      </c>
      <c r="I5" s="973"/>
      <c r="J5" s="974"/>
      <c r="K5" s="978"/>
      <c r="L5" s="1007" t="s">
        <v>80</v>
      </c>
      <c r="M5" s="847" t="s">
        <v>81</v>
      </c>
      <c r="N5" s="848"/>
      <c r="O5" s="848"/>
      <c r="P5" s="848"/>
      <c r="Q5" s="859"/>
      <c r="R5" s="960" t="s">
        <v>140</v>
      </c>
      <c r="S5" s="1006" t="s">
        <v>82</v>
      </c>
      <c r="T5" s="985"/>
      <c r="U5" s="860" t="s">
        <v>63</v>
      </c>
      <c r="V5" s="860" t="s">
        <v>64</v>
      </c>
      <c r="W5" s="860" t="s">
        <v>65</v>
      </c>
      <c r="X5" s="860" t="s">
        <v>66</v>
      </c>
      <c r="Y5" s="1014" t="s">
        <v>67</v>
      </c>
      <c r="Z5" s="1011"/>
    </row>
    <row r="6" spans="1:26" x14ac:dyDescent="0.2">
      <c r="A6" s="964"/>
      <c r="B6" s="967"/>
      <c r="C6" s="880"/>
      <c r="D6" s="861"/>
      <c r="E6" s="861"/>
      <c r="F6" s="861"/>
      <c r="G6" s="861"/>
      <c r="H6" s="1015"/>
      <c r="I6" s="973"/>
      <c r="J6" s="974"/>
      <c r="K6" s="978"/>
      <c r="L6" s="1008"/>
      <c r="M6" s="960" t="s">
        <v>68</v>
      </c>
      <c r="N6" s="960" t="s">
        <v>277</v>
      </c>
      <c r="O6" s="960" t="s">
        <v>69</v>
      </c>
      <c r="P6" s="960" t="s">
        <v>215</v>
      </c>
      <c r="Q6" s="960" t="s">
        <v>278</v>
      </c>
      <c r="R6" s="961"/>
      <c r="S6" s="1006"/>
      <c r="T6" s="985"/>
      <c r="U6" s="861"/>
      <c r="V6" s="861"/>
      <c r="W6" s="861"/>
      <c r="X6" s="861"/>
      <c r="Y6" s="1015"/>
      <c r="Z6" s="1011"/>
    </row>
    <row r="7" spans="1:26" x14ac:dyDescent="0.2">
      <c r="A7" s="964"/>
      <c r="B7" s="967"/>
      <c r="C7" s="880"/>
      <c r="D7" s="861"/>
      <c r="E7" s="861"/>
      <c r="F7" s="861"/>
      <c r="G7" s="861"/>
      <c r="H7" s="1015"/>
      <c r="I7" s="973"/>
      <c r="J7" s="974"/>
      <c r="K7" s="978"/>
      <c r="L7" s="1008"/>
      <c r="M7" s="961"/>
      <c r="N7" s="961"/>
      <c r="O7" s="961"/>
      <c r="P7" s="961"/>
      <c r="Q7" s="961"/>
      <c r="R7" s="961"/>
      <c r="S7" s="1006"/>
      <c r="T7" s="985"/>
      <c r="U7" s="861"/>
      <c r="V7" s="861"/>
      <c r="W7" s="861"/>
      <c r="X7" s="861"/>
      <c r="Y7" s="1015"/>
      <c r="Z7" s="1011"/>
    </row>
    <row r="8" spans="1:26" x14ac:dyDescent="0.2">
      <c r="A8" s="964"/>
      <c r="B8" s="967"/>
      <c r="C8" s="880"/>
      <c r="D8" s="861"/>
      <c r="E8" s="861"/>
      <c r="F8" s="861"/>
      <c r="G8" s="861"/>
      <c r="H8" s="1015"/>
      <c r="I8" s="975"/>
      <c r="J8" s="976"/>
      <c r="K8" s="978"/>
      <c r="L8" s="1008"/>
      <c r="M8" s="961"/>
      <c r="N8" s="961"/>
      <c r="O8" s="961"/>
      <c r="P8" s="961"/>
      <c r="Q8" s="961"/>
      <c r="R8" s="961"/>
      <c r="S8" s="1006"/>
      <c r="T8" s="985"/>
      <c r="U8" s="861"/>
      <c r="V8" s="861"/>
      <c r="W8" s="861"/>
      <c r="X8" s="861"/>
      <c r="Y8" s="1015"/>
      <c r="Z8" s="1011"/>
    </row>
    <row r="9" spans="1:26" ht="135.75" thickBot="1" x14ac:dyDescent="0.25">
      <c r="A9" s="965"/>
      <c r="B9" s="968"/>
      <c r="C9" s="881"/>
      <c r="D9" s="979"/>
      <c r="E9" s="979"/>
      <c r="F9" s="979"/>
      <c r="G9" s="979"/>
      <c r="H9" s="1016"/>
      <c r="I9" s="61" t="s">
        <v>168</v>
      </c>
      <c r="J9" s="62" t="s">
        <v>236</v>
      </c>
      <c r="K9" s="978"/>
      <c r="L9" s="1009"/>
      <c r="M9" s="962"/>
      <c r="N9" s="962"/>
      <c r="O9" s="962"/>
      <c r="P9" s="962"/>
      <c r="Q9" s="962"/>
      <c r="R9" s="962"/>
      <c r="S9" s="1006"/>
      <c r="T9" s="985"/>
      <c r="U9" s="861"/>
      <c r="V9" s="861"/>
      <c r="W9" s="861"/>
      <c r="X9" s="861"/>
      <c r="Y9" s="1015"/>
      <c r="Z9" s="1012"/>
    </row>
    <row r="10" spans="1:26" ht="13.5" thickBot="1" x14ac:dyDescent="0.25">
      <c r="A10" s="334"/>
      <c r="B10" s="995" t="s">
        <v>408</v>
      </c>
      <c r="C10" s="996"/>
      <c r="D10" s="182"/>
      <c r="E10" s="182"/>
      <c r="F10" s="182"/>
      <c r="G10" s="182"/>
      <c r="H10" s="182"/>
      <c r="I10" s="175">
        <v>2970</v>
      </c>
      <c r="J10" s="181">
        <v>1980</v>
      </c>
      <c r="K10" s="366">
        <f>'Учебный план'!K27</f>
        <v>3858</v>
      </c>
      <c r="L10" s="353" t="e">
        <f t="shared" ref="L10:S10" si="0">L11+L16+L20</f>
        <v>#REF!</v>
      </c>
      <c r="M10" s="176" t="e">
        <f t="shared" si="0"/>
        <v>#REF!</v>
      </c>
      <c r="N10" s="176" t="e">
        <f t="shared" si="0"/>
        <v>#REF!</v>
      </c>
      <c r="O10" s="176" t="e">
        <f t="shared" si="0"/>
        <v>#REF!</v>
      </c>
      <c r="P10" s="176" t="e">
        <f t="shared" si="0"/>
        <v>#REF!</v>
      </c>
      <c r="Q10" s="176" t="e">
        <f t="shared" si="0"/>
        <v>#REF!</v>
      </c>
      <c r="R10" s="176" t="e">
        <f t="shared" si="0"/>
        <v>#VALUE!</v>
      </c>
      <c r="S10" s="177" t="e">
        <f t="shared" si="0"/>
        <v>#REF!</v>
      </c>
      <c r="T10" s="376">
        <f>'Учебный план-з'!M9</f>
        <v>2963</v>
      </c>
      <c r="U10" s="260"/>
      <c r="V10" s="260"/>
      <c r="W10" s="260"/>
      <c r="X10" s="260"/>
      <c r="Y10" s="260"/>
      <c r="Z10" s="377"/>
    </row>
    <row r="11" spans="1:26" x14ac:dyDescent="0.2">
      <c r="A11" s="335" t="s">
        <v>161</v>
      </c>
      <c r="B11" s="997" t="s">
        <v>162</v>
      </c>
      <c r="C11" s="998"/>
      <c r="D11" s="261"/>
      <c r="E11" s="261"/>
      <c r="F11" s="261"/>
      <c r="G11" s="261"/>
      <c r="H11" s="261"/>
      <c r="I11" s="262">
        <v>612</v>
      </c>
      <c r="J11" s="263">
        <v>408</v>
      </c>
      <c r="K11" s="367">
        <f>'Учебный план'!K28</f>
        <v>612</v>
      </c>
      <c r="L11" s="354" t="e">
        <f t="shared" ref="L11:S11" si="1">SUM(L12:L15)</f>
        <v>#REF!</v>
      </c>
      <c r="M11" s="264">
        <f t="shared" si="1"/>
        <v>1</v>
      </c>
      <c r="N11" s="264">
        <f t="shared" si="1"/>
        <v>3</v>
      </c>
      <c r="O11" s="264" t="e">
        <f t="shared" si="1"/>
        <v>#REF!</v>
      </c>
      <c r="P11" s="264">
        <f t="shared" si="1"/>
        <v>0</v>
      </c>
      <c r="Q11" s="264">
        <f t="shared" si="1"/>
        <v>0</v>
      </c>
      <c r="R11" s="264" t="e">
        <f t="shared" si="1"/>
        <v>#VALUE!</v>
      </c>
      <c r="S11" s="263" t="e">
        <f t="shared" si="1"/>
        <v>#REF!</v>
      </c>
      <c r="T11" s="378">
        <f>'Учебный план-з'!M10</f>
        <v>364</v>
      </c>
      <c r="U11" s="265"/>
      <c r="V11" s="265"/>
      <c r="W11" s="265"/>
      <c r="X11" s="265"/>
      <c r="Y11" s="265"/>
      <c r="Z11" s="379"/>
    </row>
    <row r="12" spans="1:26" x14ac:dyDescent="0.2">
      <c r="A12" s="336" t="s">
        <v>163</v>
      </c>
      <c r="B12" s="368" t="str">
        <f>'Учебный план'!B29</f>
        <v>Основы философии</v>
      </c>
      <c r="C12" s="143">
        <f>'Учебный план'!C29</f>
        <v>0</v>
      </c>
      <c r="D12" s="143">
        <f>'Учебный план'!D29</f>
        <v>0</v>
      </c>
      <c r="E12" s="143" t="str">
        <f>'Учебный план'!E29</f>
        <v>3</v>
      </c>
      <c r="F12" s="143">
        <f>'Учебный план'!F29</f>
        <v>0</v>
      </c>
      <c r="G12" s="143">
        <f>'Учебный план'!G29</f>
        <v>0</v>
      </c>
      <c r="H12" s="143">
        <f>'Учебный план'!H29</f>
        <v>0</v>
      </c>
      <c r="I12" s="136"/>
      <c r="J12" s="140">
        <v>48</v>
      </c>
      <c r="K12" s="366">
        <f>'Учебный план'!K29</f>
        <v>60</v>
      </c>
      <c r="L12" s="355" t="e">
        <f>SUM(M12:Q12)</f>
        <v>#REF!</v>
      </c>
      <c r="M12" s="138">
        <f t="shared" ref="M12:R15" si="2">U12+AB12+AJ12+AR12+AZ12+BH12+BP12+BX12+CF12+CN12</f>
        <v>0</v>
      </c>
      <c r="N12" s="138">
        <f t="shared" si="2"/>
        <v>1</v>
      </c>
      <c r="O12" s="138" t="e">
        <f t="shared" si="2"/>
        <v>#REF!</v>
      </c>
      <c r="P12" s="138">
        <f t="shared" si="2"/>
        <v>0</v>
      </c>
      <c r="Q12" s="138">
        <f t="shared" si="2"/>
        <v>0</v>
      </c>
      <c r="R12" s="138" t="e">
        <f t="shared" si="2"/>
        <v>#VALUE!</v>
      </c>
      <c r="S12" s="168" t="e">
        <f>#REF!+AH12+AP12+AX12+BF12+BN12+BV12+CD12+CL12+CT12</f>
        <v>#REF!</v>
      </c>
      <c r="T12" s="376">
        <f>'Учебный план-з'!M11</f>
        <v>60</v>
      </c>
      <c r="U12" s="260">
        <f>'Учебный план-з'!D11</f>
        <v>0</v>
      </c>
      <c r="V12" s="260" t="str">
        <f>'Учебный план-з'!E11</f>
        <v>1</v>
      </c>
      <c r="W12" s="260" t="e">
        <f>'Учебный план-з'!#REF!</f>
        <v>#REF!</v>
      </c>
      <c r="X12" s="260">
        <f>'Учебный план-з'!G11</f>
        <v>0</v>
      </c>
      <c r="Y12" s="260">
        <f>'Учебный план-з'!H11</f>
        <v>0</v>
      </c>
      <c r="Z12" s="377" t="str">
        <f>'Учебный план-з'!B11</f>
        <v>Основы философии</v>
      </c>
    </row>
    <row r="13" spans="1:26" x14ac:dyDescent="0.2">
      <c r="A13" s="336" t="s">
        <v>164</v>
      </c>
      <c r="B13" s="368" t="str">
        <f>'Учебный план'!B30</f>
        <v>История</v>
      </c>
      <c r="C13" s="143">
        <f>'Учебный план'!C30</f>
        <v>0</v>
      </c>
      <c r="D13" s="143" t="str">
        <f>'Учебный план'!D30</f>
        <v>3</v>
      </c>
      <c r="E13" s="143">
        <f>'Учебный план'!E30</f>
        <v>0</v>
      </c>
      <c r="F13" s="143">
        <f>'Учебный план'!F30</f>
        <v>0</v>
      </c>
      <c r="G13" s="143">
        <f>'Учебный план'!G30</f>
        <v>0</v>
      </c>
      <c r="H13" s="143">
        <f>'Учебный план'!H30</f>
        <v>0</v>
      </c>
      <c r="I13" s="136"/>
      <c r="J13" s="140">
        <v>48</v>
      </c>
      <c r="K13" s="366">
        <f>'Учебный план'!K30</f>
        <v>66</v>
      </c>
      <c r="L13" s="355" t="e">
        <f t="shared" ref="L13:L15" si="3">SUM(M13:Q13)</f>
        <v>#REF!</v>
      </c>
      <c r="M13" s="138">
        <f t="shared" si="2"/>
        <v>1</v>
      </c>
      <c r="N13" s="138">
        <f t="shared" si="2"/>
        <v>0</v>
      </c>
      <c r="O13" s="138" t="e">
        <f t="shared" si="2"/>
        <v>#REF!</v>
      </c>
      <c r="P13" s="138">
        <f t="shared" si="2"/>
        <v>0</v>
      </c>
      <c r="Q13" s="138">
        <f t="shared" si="2"/>
        <v>0</v>
      </c>
      <c r="R13" s="138" t="e">
        <f t="shared" si="2"/>
        <v>#VALUE!</v>
      </c>
      <c r="S13" s="168" t="e">
        <f>#REF!+AH13+AP13+AX13+BF13+BN13+BV13+CD13+CL13+CT13</f>
        <v>#REF!</v>
      </c>
      <c r="T13" s="376">
        <f>'Учебный план-з'!M12</f>
        <v>66</v>
      </c>
      <c r="U13" s="260" t="str">
        <f>'Учебный план-з'!D12</f>
        <v>1</v>
      </c>
      <c r="V13" s="260">
        <f>'Учебный план-з'!E12</f>
        <v>0</v>
      </c>
      <c r="W13" s="260" t="e">
        <f>'Учебный план-з'!#REF!</f>
        <v>#REF!</v>
      </c>
      <c r="X13" s="260">
        <f>'Учебный план-з'!G12</f>
        <v>0</v>
      </c>
      <c r="Y13" s="260">
        <f>'Учебный план-з'!H12</f>
        <v>0</v>
      </c>
      <c r="Z13" s="377" t="str">
        <f>'Учебный план-з'!B12</f>
        <v>История</v>
      </c>
    </row>
    <row r="14" spans="1:26" ht="25.5" x14ac:dyDescent="0.2">
      <c r="A14" s="336" t="s">
        <v>165</v>
      </c>
      <c r="B14" s="368" t="str">
        <f>'Учебный план'!B31</f>
        <v>Иностранный язык</v>
      </c>
      <c r="C14" s="143">
        <f>'Учебный план'!C31</f>
        <v>0</v>
      </c>
      <c r="D14" s="143">
        <f>'Учебный план'!D31</f>
        <v>0</v>
      </c>
      <c r="E14" s="143" t="str">
        <f>'Учебный план'!E31</f>
        <v>5,8</v>
      </c>
      <c r="F14" s="143">
        <f>'Учебный план'!F31</f>
        <v>0</v>
      </c>
      <c r="G14" s="143">
        <f>'Учебный план'!G31</f>
        <v>0</v>
      </c>
      <c r="H14" s="143" t="str">
        <f>'Учебный план'!H31</f>
        <v>3,4,6,7</v>
      </c>
      <c r="I14" s="136"/>
      <c r="J14" s="140">
        <v>156</v>
      </c>
      <c r="K14" s="366">
        <f>'Учебный план'!K31</f>
        <v>174</v>
      </c>
      <c r="L14" s="355" t="e">
        <f t="shared" si="3"/>
        <v>#REF!</v>
      </c>
      <c r="M14" s="138">
        <f t="shared" si="2"/>
        <v>0</v>
      </c>
      <c r="N14" s="138">
        <f t="shared" si="2"/>
        <v>2</v>
      </c>
      <c r="O14" s="138" t="e">
        <f t="shared" si="2"/>
        <v>#REF!</v>
      </c>
      <c r="P14" s="138">
        <f t="shared" si="2"/>
        <v>0</v>
      </c>
      <c r="Q14" s="138">
        <f t="shared" si="2"/>
        <v>0</v>
      </c>
      <c r="R14" s="138" t="e">
        <f t="shared" si="2"/>
        <v>#VALUE!</v>
      </c>
      <c r="S14" s="168" t="e">
        <f>#REF!+AH14+AP14+AX14+BF14+BN14+BV14+CD14+CL14+CT14</f>
        <v>#REF!</v>
      </c>
      <c r="T14" s="376">
        <f>'Учебный план-з'!M13</f>
        <v>174</v>
      </c>
      <c r="U14" s="260">
        <f>'Учебный план-з'!D13</f>
        <v>0</v>
      </c>
      <c r="V14" s="260" t="str">
        <f>'Учебный план-з'!E13</f>
        <v>2,4</v>
      </c>
      <c r="W14" s="260" t="e">
        <f>'Учебный план-з'!#REF!</f>
        <v>#REF!</v>
      </c>
      <c r="X14" s="260">
        <f>'Учебный план-з'!G13</f>
        <v>0</v>
      </c>
      <c r="Y14" s="260">
        <f>'Учебный план-з'!H13</f>
        <v>0</v>
      </c>
      <c r="Z14" s="377" t="str">
        <f>'Учебный план-з'!B13</f>
        <v>Иностранный язык</v>
      </c>
    </row>
    <row r="15" spans="1:26" ht="25.5" x14ac:dyDescent="0.2">
      <c r="A15" s="337" t="s">
        <v>166</v>
      </c>
      <c r="B15" s="368" t="str">
        <f>'Учебный план'!B32</f>
        <v>Физическая культура</v>
      </c>
      <c r="C15" s="143">
        <f>'Учебный план'!C32</f>
        <v>0</v>
      </c>
      <c r="D15" s="143">
        <f>'Учебный план'!D32</f>
        <v>0</v>
      </c>
      <c r="E15" s="143" t="str">
        <f>'Учебный план'!E32</f>
        <v>3,4,5,6,7,8</v>
      </c>
      <c r="F15" s="143">
        <f>'Учебный план'!F32</f>
        <v>0</v>
      </c>
      <c r="G15" s="143">
        <f>'Учебный план'!G32</f>
        <v>0</v>
      </c>
      <c r="H15" s="143">
        <f>'Учебный план'!H32</f>
        <v>0</v>
      </c>
      <c r="I15" s="117">
        <v>312</v>
      </c>
      <c r="J15" s="120">
        <v>156</v>
      </c>
      <c r="K15" s="366">
        <f>'Учебный план'!K32</f>
        <v>312</v>
      </c>
      <c r="L15" s="355" t="e">
        <f t="shared" si="3"/>
        <v>#REF!</v>
      </c>
      <c r="M15" s="118">
        <f t="shared" si="2"/>
        <v>0</v>
      </c>
      <c r="N15" s="138">
        <f t="shared" si="2"/>
        <v>0</v>
      </c>
      <c r="O15" s="138" t="e">
        <f t="shared" si="2"/>
        <v>#REF!</v>
      </c>
      <c r="P15" s="118">
        <f t="shared" si="2"/>
        <v>0</v>
      </c>
      <c r="Q15" s="118">
        <f t="shared" si="2"/>
        <v>0</v>
      </c>
      <c r="R15" s="118" t="e">
        <f t="shared" si="2"/>
        <v>#VALUE!</v>
      </c>
      <c r="S15" s="183" t="e">
        <f>#REF!+AH15+AP15+AX15+BF15+BN15+BV15+CD15+CL15+CT15</f>
        <v>#REF!</v>
      </c>
      <c r="T15" s="376">
        <f>'Учебный план-з'!M14</f>
        <v>312</v>
      </c>
      <c r="U15" s="260">
        <f>'Учебный план-з'!D14</f>
        <v>0</v>
      </c>
      <c r="V15" s="260">
        <f>'Учебный план-з'!E14</f>
        <v>0</v>
      </c>
      <c r="W15" s="260" t="e">
        <f>'Учебный план-з'!#REF!</f>
        <v>#REF!</v>
      </c>
      <c r="X15" s="260">
        <f>'Учебный план-з'!G14</f>
        <v>0</v>
      </c>
      <c r="Y15" s="260">
        <f>'Учебный план-з'!H14</f>
        <v>0</v>
      </c>
      <c r="Z15" s="377" t="str">
        <f>'Учебный план-з'!B14</f>
        <v>Физическая культура</v>
      </c>
    </row>
    <row r="16" spans="1:26" ht="25.5" x14ac:dyDescent="0.2">
      <c r="A16" s="338" t="s">
        <v>169</v>
      </c>
      <c r="B16" s="999" t="s">
        <v>173</v>
      </c>
      <c r="C16" s="1000"/>
      <c r="D16" s="1000"/>
      <c r="E16" s="1000"/>
      <c r="F16" s="1000"/>
      <c r="G16" s="1000"/>
      <c r="H16" s="1001"/>
      <c r="I16" s="266">
        <v>162</v>
      </c>
      <c r="J16" s="267">
        <v>108</v>
      </c>
      <c r="K16" s="367">
        <f>'Учебный план'!K33</f>
        <v>168</v>
      </c>
      <c r="L16" s="356" t="e">
        <f t="shared" ref="L16:S16" si="4">SUM(L17:L19)</f>
        <v>#REF!</v>
      </c>
      <c r="M16" s="259">
        <f t="shared" si="4"/>
        <v>1</v>
      </c>
      <c r="N16" s="259">
        <f t="shared" si="4"/>
        <v>4</v>
      </c>
      <c r="O16" s="259" t="e">
        <f t="shared" si="4"/>
        <v>#REF!</v>
      </c>
      <c r="P16" s="259">
        <f t="shared" si="4"/>
        <v>0</v>
      </c>
      <c r="Q16" s="259">
        <f t="shared" si="4"/>
        <v>0</v>
      </c>
      <c r="R16" s="259" t="e">
        <f t="shared" si="4"/>
        <v>#VALUE!</v>
      </c>
      <c r="S16" s="268" t="e">
        <f t="shared" si="4"/>
        <v>#REF!</v>
      </c>
      <c r="T16" s="376">
        <f>'Учебный план-з'!M15</f>
        <v>48</v>
      </c>
      <c r="U16" s="265">
        <f>'Учебный план-з'!D15</f>
        <v>0</v>
      </c>
      <c r="V16" s="265">
        <f>'Учебный план-з'!E15</f>
        <v>0</v>
      </c>
      <c r="W16" s="265" t="e">
        <f>'Учебный план-з'!#REF!</f>
        <v>#REF!</v>
      </c>
      <c r="X16" s="265">
        <f>'Учебный план-з'!G15</f>
        <v>0</v>
      </c>
      <c r="Y16" s="265">
        <f>'Учебный план-з'!H15</f>
        <v>0</v>
      </c>
      <c r="Z16" s="380" t="str">
        <f>'Учебный план-з'!B15</f>
        <v>Математический и общий естественнонаучный цикл</v>
      </c>
    </row>
    <row r="17" spans="1:26" x14ac:dyDescent="0.2">
      <c r="A17" s="336" t="s">
        <v>170</v>
      </c>
      <c r="B17" s="368" t="str">
        <f>'Учебный план'!B34</f>
        <v>Математика</v>
      </c>
      <c r="C17" s="143">
        <f>'Учебный план'!C34</f>
        <v>0</v>
      </c>
      <c r="D17" s="143" t="str">
        <f>'Учебный план'!D34</f>
        <v>3</v>
      </c>
      <c r="E17" s="143">
        <f>'Учебный план'!E34</f>
        <v>0</v>
      </c>
      <c r="F17" s="143">
        <f>'Учебный план'!F34</f>
        <v>0</v>
      </c>
      <c r="G17" s="143">
        <f>'Учебный план'!G34</f>
        <v>0</v>
      </c>
      <c r="H17" s="143">
        <f>'Учебный план'!H34</f>
        <v>0</v>
      </c>
      <c r="I17" s="136"/>
      <c r="J17" s="140"/>
      <c r="K17" s="366">
        <f>'Учебный план'!K34</f>
        <v>60</v>
      </c>
      <c r="L17" s="355" t="e">
        <f>SUM(M17:Q17)</f>
        <v>#REF!</v>
      </c>
      <c r="M17" s="138">
        <f t="shared" ref="M17:R19" si="5">U17+AB17+AJ17+AR17+AZ17+BH17+BP17+BX17+CF17+CN17</f>
        <v>1</v>
      </c>
      <c r="N17" s="138">
        <f t="shared" si="5"/>
        <v>0</v>
      </c>
      <c r="O17" s="138" t="e">
        <f t="shared" si="5"/>
        <v>#REF!</v>
      </c>
      <c r="P17" s="138">
        <f t="shared" si="5"/>
        <v>0</v>
      </c>
      <c r="Q17" s="138">
        <f t="shared" si="5"/>
        <v>0</v>
      </c>
      <c r="R17" s="138" t="e">
        <f t="shared" si="5"/>
        <v>#VALUE!</v>
      </c>
      <c r="S17" s="168" t="e">
        <f>#REF!+AH17+AP17+AX17+BF17+BN17+BV17+CD17+CL17+CT17</f>
        <v>#REF!</v>
      </c>
      <c r="T17" s="376">
        <f>'Учебный план-з'!M16</f>
        <v>60</v>
      </c>
      <c r="U17" s="260" t="str">
        <f>'Учебный план-з'!D16</f>
        <v>1</v>
      </c>
      <c r="V17" s="260">
        <f>'Учебный план-з'!E16</f>
        <v>0</v>
      </c>
      <c r="W17" s="260" t="e">
        <f>'Учебный план-з'!#REF!</f>
        <v>#REF!</v>
      </c>
      <c r="X17" s="260">
        <f>'Учебный план-з'!G16</f>
        <v>0</v>
      </c>
      <c r="Y17" s="260">
        <f>'Учебный план-з'!H16</f>
        <v>0</v>
      </c>
      <c r="Z17" s="377" t="str">
        <f>'Учебный план-з'!B16</f>
        <v>Математика</v>
      </c>
    </row>
    <row r="18" spans="1:26" x14ac:dyDescent="0.2">
      <c r="A18" s="336" t="s">
        <v>171</v>
      </c>
      <c r="B18" s="368" t="str">
        <f>'Учебный план'!B35</f>
        <v>Информатика</v>
      </c>
      <c r="C18" s="143">
        <f>'Учебный план'!C35</f>
        <v>0</v>
      </c>
      <c r="D18" s="143">
        <f>'Учебный план'!D35</f>
        <v>0</v>
      </c>
      <c r="E18" s="143" t="str">
        <f>'Учебный план'!E35</f>
        <v>3</v>
      </c>
      <c r="F18" s="143">
        <f>'Учебный план'!F35</f>
        <v>0</v>
      </c>
      <c r="G18" s="143">
        <f>'Учебный план'!G35</f>
        <v>0</v>
      </c>
      <c r="H18" s="143">
        <f>'Учебный план'!H35</f>
        <v>0</v>
      </c>
      <c r="I18" s="136"/>
      <c r="J18" s="140"/>
      <c r="K18" s="366">
        <f>'Учебный план'!K35</f>
        <v>60</v>
      </c>
      <c r="L18" s="355" t="e">
        <f>SUM(M18:Q18)</f>
        <v>#REF!</v>
      </c>
      <c r="M18" s="138">
        <f t="shared" si="5"/>
        <v>0</v>
      </c>
      <c r="N18" s="138">
        <f t="shared" si="5"/>
        <v>1</v>
      </c>
      <c r="O18" s="138" t="e">
        <f t="shared" si="5"/>
        <v>#REF!</v>
      </c>
      <c r="P18" s="138">
        <f t="shared" si="5"/>
        <v>0</v>
      </c>
      <c r="Q18" s="138">
        <f t="shared" si="5"/>
        <v>0</v>
      </c>
      <c r="R18" s="138" t="e">
        <f t="shared" si="5"/>
        <v>#VALUE!</v>
      </c>
      <c r="S18" s="168" t="e">
        <f>#REF!+AH18+AP18+AX18+BF18+BN18+BV18+CD18+CL18+CT18</f>
        <v>#REF!</v>
      </c>
      <c r="T18" s="376">
        <f>'Учебный план-з'!M17</f>
        <v>60</v>
      </c>
      <c r="U18" s="260">
        <f>'Учебный план-з'!D17</f>
        <v>0</v>
      </c>
      <c r="V18" s="260" t="str">
        <f>'Учебный план-з'!E17</f>
        <v>1</v>
      </c>
      <c r="W18" s="260" t="e">
        <f>'Учебный план-з'!#REF!</f>
        <v>#REF!</v>
      </c>
      <c r="X18" s="260">
        <f>'Учебный план-з'!G17</f>
        <v>0</v>
      </c>
      <c r="Y18" s="260">
        <f>'Учебный план-з'!H17</f>
        <v>0</v>
      </c>
      <c r="Z18" s="377" t="str">
        <f>'Учебный план-з'!B17</f>
        <v>Информатика</v>
      </c>
    </row>
    <row r="19" spans="1:26" ht="25.5" x14ac:dyDescent="0.2">
      <c r="A19" s="336" t="s">
        <v>295</v>
      </c>
      <c r="B19" s="368" t="str">
        <f>'Учебный план'!B36</f>
        <v>Экологические основы природопользования</v>
      </c>
      <c r="C19" s="143">
        <f>'Учебный план'!C36</f>
        <v>0</v>
      </c>
      <c r="D19" s="143">
        <f>'Учебный план'!D36</f>
        <v>0</v>
      </c>
      <c r="E19" s="143" t="str">
        <f>'Учебный план'!E36</f>
        <v>3</v>
      </c>
      <c r="F19" s="143">
        <f>'Учебный план'!F36</f>
        <v>0</v>
      </c>
      <c r="G19" s="143">
        <f>'Учебный план'!G36</f>
        <v>0</v>
      </c>
      <c r="H19" s="143">
        <f>'Учебный план'!H36</f>
        <v>0</v>
      </c>
      <c r="I19" s="136"/>
      <c r="J19" s="140"/>
      <c r="K19" s="366">
        <f>'Учебный план'!K36</f>
        <v>48</v>
      </c>
      <c r="L19" s="355" t="e">
        <f>SUM(M19:Q19)</f>
        <v>#REF!</v>
      </c>
      <c r="M19" s="138">
        <f t="shared" si="5"/>
        <v>0</v>
      </c>
      <c r="N19" s="138">
        <f t="shared" si="5"/>
        <v>3</v>
      </c>
      <c r="O19" s="138" t="e">
        <f t="shared" si="5"/>
        <v>#REF!</v>
      </c>
      <c r="P19" s="138">
        <f t="shared" si="5"/>
        <v>0</v>
      </c>
      <c r="Q19" s="138">
        <f t="shared" si="5"/>
        <v>0</v>
      </c>
      <c r="R19" s="138" t="e">
        <f t="shared" si="5"/>
        <v>#VALUE!</v>
      </c>
      <c r="S19" s="168" t="e">
        <f>#REF!+AH19+AP19+AX19+BF19+BN19+BV19+CD19+CL19+CT19</f>
        <v>#REF!</v>
      </c>
      <c r="T19" s="376">
        <f>'Учебный план-з'!M18</f>
        <v>48</v>
      </c>
      <c r="U19" s="260">
        <f>'Учебный план-з'!D18</f>
        <v>0</v>
      </c>
      <c r="V19" s="260" t="str">
        <f>'Учебный план-з'!E18</f>
        <v>3</v>
      </c>
      <c r="W19" s="260" t="e">
        <f>'Учебный план-з'!#REF!</f>
        <v>#REF!</v>
      </c>
      <c r="X19" s="260">
        <f>'Учебный план-з'!G18</f>
        <v>0</v>
      </c>
      <c r="Y19" s="260">
        <f>'Учебный план-з'!H18</f>
        <v>0</v>
      </c>
      <c r="Z19" s="381" t="str">
        <f>'Учебный план-з'!B18</f>
        <v>Экологические основы природопользования</v>
      </c>
    </row>
    <row r="20" spans="1:26" x14ac:dyDescent="0.2">
      <c r="A20" s="339" t="s">
        <v>192</v>
      </c>
      <c r="B20" s="999" t="s">
        <v>75</v>
      </c>
      <c r="C20" s="1000"/>
      <c r="D20" s="146" t="s">
        <v>26</v>
      </c>
      <c r="E20" s="146"/>
      <c r="F20" s="146"/>
      <c r="G20" s="146"/>
      <c r="H20" s="146"/>
      <c r="I20" s="269">
        <v>2196</v>
      </c>
      <c r="J20" s="270">
        <v>1464</v>
      </c>
      <c r="K20" s="367">
        <f>'Учебный план'!K37</f>
        <v>3078</v>
      </c>
      <c r="L20" s="357" t="e">
        <f t="shared" ref="L20:S20" si="6">L21+L30</f>
        <v>#REF!</v>
      </c>
      <c r="M20" s="271" t="e">
        <f t="shared" si="6"/>
        <v>#REF!</v>
      </c>
      <c r="N20" s="271" t="e">
        <f t="shared" si="6"/>
        <v>#REF!</v>
      </c>
      <c r="O20" s="271" t="e">
        <f t="shared" si="6"/>
        <v>#REF!</v>
      </c>
      <c r="P20" s="271" t="e">
        <f t="shared" si="6"/>
        <v>#REF!</v>
      </c>
      <c r="Q20" s="271" t="e">
        <f t="shared" si="6"/>
        <v>#REF!</v>
      </c>
      <c r="R20" s="271" t="e">
        <f t="shared" si="6"/>
        <v>#VALUE!</v>
      </c>
      <c r="S20" s="272" t="e">
        <f t="shared" si="6"/>
        <v>#REF!</v>
      </c>
      <c r="T20" s="376">
        <f>'Учебный план-з'!M19</f>
        <v>2551</v>
      </c>
      <c r="U20" s="265" t="str">
        <f>'Учебный план-з'!D19</f>
        <v xml:space="preserve"> </v>
      </c>
      <c r="V20" s="265">
        <f>'Учебный план-з'!E19</f>
        <v>0</v>
      </c>
      <c r="W20" s="265" t="e">
        <f>'Учебный план-з'!#REF!</f>
        <v>#REF!</v>
      </c>
      <c r="X20" s="265">
        <f>'Учебный план-з'!G19</f>
        <v>0</v>
      </c>
      <c r="Y20" s="265">
        <f>'Учебный план-з'!H19</f>
        <v>0</v>
      </c>
      <c r="Z20" s="379" t="str">
        <f>'Учебный план-з'!B19</f>
        <v>Профессиональный учебный цикл</v>
      </c>
    </row>
    <row r="21" spans="1:26" x14ac:dyDescent="0.2">
      <c r="A21" s="340" t="s">
        <v>181</v>
      </c>
      <c r="B21" s="1002" t="s">
        <v>180</v>
      </c>
      <c r="C21" s="1003"/>
      <c r="D21" s="273"/>
      <c r="E21" s="273"/>
      <c r="F21" s="273"/>
      <c r="G21" s="273"/>
      <c r="H21" s="273"/>
      <c r="I21" s="154">
        <v>804</v>
      </c>
      <c r="J21" s="254">
        <v>536</v>
      </c>
      <c r="K21" s="367">
        <f>'Учебный план'!K38</f>
        <v>1047</v>
      </c>
      <c r="L21" s="312" t="e">
        <f t="shared" ref="L21:S21" si="7">SUM(L22:L29)</f>
        <v>#REF!</v>
      </c>
      <c r="M21" s="274">
        <f t="shared" si="7"/>
        <v>6</v>
      </c>
      <c r="N21" s="274">
        <f t="shared" si="7"/>
        <v>10</v>
      </c>
      <c r="O21" s="274" t="e">
        <f t="shared" si="7"/>
        <v>#REF!</v>
      </c>
      <c r="P21" s="274">
        <f t="shared" si="7"/>
        <v>0</v>
      </c>
      <c r="Q21" s="274">
        <f t="shared" si="7"/>
        <v>0</v>
      </c>
      <c r="R21" s="274" t="e">
        <f t="shared" si="7"/>
        <v>#VALUE!</v>
      </c>
      <c r="S21" s="275" t="e">
        <f t="shared" si="7"/>
        <v>#REF!</v>
      </c>
      <c r="T21" s="376">
        <f>'Учебный план-з'!M20</f>
        <v>520</v>
      </c>
      <c r="U21" s="265">
        <f>'Учебный план-з'!D20</f>
        <v>0</v>
      </c>
      <c r="V21" s="265">
        <f>'Учебный план-з'!E20</f>
        <v>0</v>
      </c>
      <c r="W21" s="265" t="e">
        <f>'Учебный план-з'!#REF!</f>
        <v>#REF!</v>
      </c>
      <c r="X21" s="265">
        <f>'Учебный план-з'!G20</f>
        <v>0</v>
      </c>
      <c r="Y21" s="265">
        <f>'Учебный план-з'!H20</f>
        <v>0</v>
      </c>
      <c r="Z21" s="379" t="str">
        <f>'Учебный план-з'!B20</f>
        <v>Общепрофессиональные дисциплины</v>
      </c>
    </row>
    <row r="22" spans="1:26" x14ac:dyDescent="0.2">
      <c r="A22" s="336" t="s">
        <v>182</v>
      </c>
      <c r="B22" s="368" t="str">
        <f>'Учебный план'!B39</f>
        <v>Инженерная графика</v>
      </c>
      <c r="C22" s="143">
        <f>'Учебный план'!C39</f>
        <v>0</v>
      </c>
      <c r="D22" s="143">
        <f>'Учебный план'!D39</f>
        <v>0</v>
      </c>
      <c r="E22" s="143" t="str">
        <f>'Учебный план'!E39</f>
        <v>4</v>
      </c>
      <c r="F22" s="143">
        <f>'Учебный план'!F39</f>
        <v>0</v>
      </c>
      <c r="G22" s="143">
        <f>'Учебный план'!G39</f>
        <v>0</v>
      </c>
      <c r="H22" s="143" t="str">
        <f>'Учебный план'!H39</f>
        <v>3</v>
      </c>
      <c r="I22" s="136"/>
      <c r="J22" s="140"/>
      <c r="K22" s="366">
        <f>'Учебный план'!K39</f>
        <v>106</v>
      </c>
      <c r="L22" s="355" t="e">
        <f>SUM(M22:Q22)</f>
        <v>#REF!</v>
      </c>
      <c r="M22" s="138">
        <f t="shared" ref="M22:R24" si="8">U22+AB22+AJ22+AR22+AZ22+BH22+BP22+BX22+CF22+CN22</f>
        <v>0</v>
      </c>
      <c r="N22" s="138">
        <f t="shared" si="8"/>
        <v>1</v>
      </c>
      <c r="O22" s="138" t="e">
        <f t="shared" si="8"/>
        <v>#REF!</v>
      </c>
      <c r="P22" s="138">
        <f t="shared" si="8"/>
        <v>0</v>
      </c>
      <c r="Q22" s="138">
        <f t="shared" si="8"/>
        <v>0</v>
      </c>
      <c r="R22" s="138" t="e">
        <f t="shared" si="8"/>
        <v>#VALUE!</v>
      </c>
      <c r="S22" s="168" t="e">
        <f>#REF!+AH22+AP22+AX22+BF22+BN22+BV22+CD22+CL22+CT22</f>
        <v>#REF!</v>
      </c>
      <c r="T22" s="376">
        <f>'Учебный план-з'!M21</f>
        <v>106</v>
      </c>
      <c r="U22" s="260">
        <f>'Учебный план-з'!D21</f>
        <v>0</v>
      </c>
      <c r="V22" s="260" t="str">
        <f>'Учебный план-з'!E21</f>
        <v>1</v>
      </c>
      <c r="W22" s="260" t="e">
        <f>'Учебный план-з'!#REF!</f>
        <v>#REF!</v>
      </c>
      <c r="X22" s="260">
        <f>'Учебный план-з'!G21</f>
        <v>0</v>
      </c>
      <c r="Y22" s="260">
        <f>'Учебный план-з'!H21</f>
        <v>0</v>
      </c>
      <c r="Z22" s="377" t="str">
        <f>'Учебный план-з'!B21</f>
        <v>Инженерная графика</v>
      </c>
    </row>
    <row r="23" spans="1:26" x14ac:dyDescent="0.2">
      <c r="A23" s="336" t="s">
        <v>184</v>
      </c>
      <c r="B23" s="368" t="str">
        <f>'Учебный план'!B40</f>
        <v>Механика</v>
      </c>
      <c r="C23" s="143">
        <f>'Учебный план'!C40</f>
        <v>0</v>
      </c>
      <c r="D23" s="143" t="str">
        <f>'Учебный план'!D40</f>
        <v>4</v>
      </c>
      <c r="E23" s="143">
        <f>'Учебный план'!E40</f>
        <v>0</v>
      </c>
      <c r="F23" s="143">
        <f>'Учебный план'!F40</f>
        <v>0</v>
      </c>
      <c r="G23" s="143">
        <f>'Учебный план'!G40</f>
        <v>0</v>
      </c>
      <c r="H23" s="143" t="str">
        <f>'Учебный план'!H40</f>
        <v>3</v>
      </c>
      <c r="I23" s="136"/>
      <c r="J23" s="140"/>
      <c r="K23" s="366">
        <f>'Учебный план'!K40</f>
        <v>268</v>
      </c>
      <c r="L23" s="355" t="e">
        <f t="shared" ref="L23:L29" si="9">SUM(M23:Q23)</f>
        <v>#REF!</v>
      </c>
      <c r="M23" s="138">
        <f t="shared" si="8"/>
        <v>2</v>
      </c>
      <c r="N23" s="138">
        <f t="shared" si="8"/>
        <v>0</v>
      </c>
      <c r="O23" s="138" t="e">
        <f t="shared" si="8"/>
        <v>#REF!</v>
      </c>
      <c r="P23" s="138">
        <f t="shared" si="8"/>
        <v>0</v>
      </c>
      <c r="Q23" s="138">
        <f t="shared" si="8"/>
        <v>0</v>
      </c>
      <c r="R23" s="138" t="e">
        <f t="shared" si="8"/>
        <v>#VALUE!</v>
      </c>
      <c r="S23" s="168" t="e">
        <f>#REF!+AH23+AP23+AX23+BF23+BN23+BV23+CD23+CL23+CT23</f>
        <v>#REF!</v>
      </c>
      <c r="T23" s="376">
        <f>'Учебный план-з'!M22</f>
        <v>268</v>
      </c>
      <c r="U23" s="260" t="str">
        <f>'Учебный план-з'!D22</f>
        <v>2</v>
      </c>
      <c r="V23" s="260">
        <f>'Учебный план-з'!E22</f>
        <v>0</v>
      </c>
      <c r="W23" s="260" t="e">
        <f>'Учебный план-з'!#REF!</f>
        <v>#REF!</v>
      </c>
      <c r="X23" s="260">
        <f>'Учебный план-з'!G22</f>
        <v>0</v>
      </c>
      <c r="Y23" s="260">
        <f>'Учебный план-з'!H22</f>
        <v>0</v>
      </c>
      <c r="Z23" s="377" t="str">
        <f>'Учебный план-з'!B22</f>
        <v>Механика</v>
      </c>
    </row>
    <row r="24" spans="1:26" x14ac:dyDescent="0.2">
      <c r="A24" s="336" t="s">
        <v>185</v>
      </c>
      <c r="B24" s="368" t="str">
        <f>'Учебный план'!B41</f>
        <v>Электроника и электротехника</v>
      </c>
      <c r="C24" s="143">
        <f>'Учебный план'!C41</f>
        <v>0</v>
      </c>
      <c r="D24" s="143">
        <f>'Учебный план'!D41</f>
        <v>0</v>
      </c>
      <c r="E24" s="143" t="str">
        <f>'Учебный план'!E41</f>
        <v>4</v>
      </c>
      <c r="F24" s="143">
        <f>'Учебный план'!F41</f>
        <v>0</v>
      </c>
      <c r="G24" s="143">
        <f>'Учебный план'!G41</f>
        <v>0</v>
      </c>
      <c r="H24" s="143" t="str">
        <f>'Учебный план'!H41</f>
        <v>3</v>
      </c>
      <c r="I24" s="136"/>
      <c r="J24" s="140"/>
      <c r="K24" s="366">
        <f>'Учебный план'!K41</f>
        <v>105</v>
      </c>
      <c r="L24" s="355" t="e">
        <f t="shared" si="9"/>
        <v>#REF!</v>
      </c>
      <c r="M24" s="138">
        <f t="shared" si="8"/>
        <v>0</v>
      </c>
      <c r="N24" s="138">
        <f t="shared" si="8"/>
        <v>3</v>
      </c>
      <c r="O24" s="138" t="e">
        <f t="shared" si="8"/>
        <v>#REF!</v>
      </c>
      <c r="P24" s="138">
        <f t="shared" si="8"/>
        <v>0</v>
      </c>
      <c r="Q24" s="138">
        <f t="shared" si="8"/>
        <v>0</v>
      </c>
      <c r="R24" s="138" t="e">
        <f t="shared" si="8"/>
        <v>#VALUE!</v>
      </c>
      <c r="S24" s="168" t="e">
        <f>#REF!+AH24+AP24+AX24+BF24+BN24+BV24+CD24+CL24+CT24</f>
        <v>#REF!</v>
      </c>
      <c r="T24" s="376">
        <f>'Учебный план-з'!M23</f>
        <v>105</v>
      </c>
      <c r="U24" s="260">
        <f>'Учебный план-з'!D23</f>
        <v>0</v>
      </c>
      <c r="V24" s="260" t="str">
        <f>'Учебный план-з'!E23</f>
        <v>3</v>
      </c>
      <c r="W24" s="260" t="e">
        <f>'Учебный план-з'!#REF!</f>
        <v>#REF!</v>
      </c>
      <c r="X24" s="260">
        <f>'Учебный план-з'!G23</f>
        <v>0</v>
      </c>
      <c r="Y24" s="260">
        <f>'Учебный план-з'!H23</f>
        <v>0</v>
      </c>
      <c r="Z24" s="377" t="str">
        <f>'Учебный план-з'!B23</f>
        <v>Электроника и электротехника</v>
      </c>
    </row>
    <row r="25" spans="1:26" x14ac:dyDescent="0.2">
      <c r="A25" s="341" t="s">
        <v>187</v>
      </c>
      <c r="B25" s="368" t="str">
        <f>'Учебный план'!B42</f>
        <v>Материаловедение</v>
      </c>
      <c r="C25" s="143">
        <f>'Учебный план'!C42</f>
        <v>0</v>
      </c>
      <c r="D25" s="143">
        <f>'Учебный план'!D42</f>
        <v>0</v>
      </c>
      <c r="E25" s="143" t="str">
        <f>'Учебный план'!E42</f>
        <v>4</v>
      </c>
      <c r="F25" s="143">
        <f>'Учебный план'!F42</f>
        <v>0</v>
      </c>
      <c r="G25" s="143">
        <f>'Учебный план'!G42</f>
        <v>0</v>
      </c>
      <c r="H25" s="143">
        <f>'Учебный план'!H42</f>
        <v>0</v>
      </c>
      <c r="I25" s="136"/>
      <c r="J25" s="140"/>
      <c r="K25" s="366">
        <f>'Учебный план'!K42</f>
        <v>114</v>
      </c>
      <c r="L25" s="355" t="e">
        <f t="shared" si="9"/>
        <v>#REF!</v>
      </c>
      <c r="M25" s="138">
        <f t="shared" ref="M25:P29" si="10">U25+AB25+AJ25+AR25+AZ25+BH25+BP25+BX25+CF25+CN25</f>
        <v>0</v>
      </c>
      <c r="N25" s="138">
        <f t="shared" si="10"/>
        <v>1</v>
      </c>
      <c r="O25" s="138" t="e">
        <f t="shared" si="10"/>
        <v>#REF!</v>
      </c>
      <c r="P25" s="138">
        <f t="shared" si="10"/>
        <v>0</v>
      </c>
      <c r="Q25" s="138"/>
      <c r="R25" s="138" t="e">
        <f>Z25+AG25+AO25+AW25+BE25+BM25+BU25+CC25+CK25+CS25</f>
        <v>#VALUE!</v>
      </c>
      <c r="S25" s="168" t="e">
        <f>#REF!+AH25+AP25+AX25+BF25+BN25+BV25+CD25+CL25+CT25</f>
        <v>#REF!</v>
      </c>
      <c r="T25" s="376">
        <f>'Учебный план-з'!M24</f>
        <v>114</v>
      </c>
      <c r="U25" s="260">
        <f>'Учебный план-з'!D24</f>
        <v>0</v>
      </c>
      <c r="V25" s="260" t="str">
        <f>'Учебный план-з'!E24</f>
        <v>1</v>
      </c>
      <c r="W25" s="260" t="e">
        <f>'Учебный план-з'!#REF!</f>
        <v>#REF!</v>
      </c>
      <c r="X25" s="260">
        <f>'Учебный план-з'!G24</f>
        <v>0</v>
      </c>
      <c r="Y25" s="260">
        <f>'Учебный план-з'!H24</f>
        <v>0</v>
      </c>
      <c r="Z25" s="377" t="str">
        <f>'Учебный план-з'!B24</f>
        <v>Материаловедение</v>
      </c>
    </row>
    <row r="26" spans="1:26" x14ac:dyDescent="0.2">
      <c r="A26" s="336" t="s">
        <v>188</v>
      </c>
      <c r="B26" s="368" t="str">
        <f>'Учебный план'!B43</f>
        <v>Метрология и стандартизация</v>
      </c>
      <c r="C26" s="143">
        <f>'Учебный план'!C43</f>
        <v>0</v>
      </c>
      <c r="D26" s="143">
        <f>'Учебный план'!D43</f>
        <v>0</v>
      </c>
      <c r="E26" s="143" t="str">
        <f>'Учебный план'!E43</f>
        <v>4</v>
      </c>
      <c r="F26" s="143">
        <f>'Учебный план'!F43</f>
        <v>0</v>
      </c>
      <c r="G26" s="143">
        <f>'Учебный план'!G43</f>
        <v>0</v>
      </c>
      <c r="H26" s="143" t="str">
        <f>'Учебный план'!H43</f>
        <v>3</v>
      </c>
      <c r="I26" s="136"/>
      <c r="J26" s="140"/>
      <c r="K26" s="366">
        <f>'Учебный план'!K43</f>
        <v>105</v>
      </c>
      <c r="L26" s="355" t="e">
        <f t="shared" si="9"/>
        <v>#REF!</v>
      </c>
      <c r="M26" s="138">
        <f t="shared" si="10"/>
        <v>0</v>
      </c>
      <c r="N26" s="138">
        <f t="shared" si="10"/>
        <v>2</v>
      </c>
      <c r="O26" s="138" t="e">
        <f t="shared" si="10"/>
        <v>#REF!</v>
      </c>
      <c r="P26" s="138">
        <f t="shared" si="10"/>
        <v>0</v>
      </c>
      <c r="Q26" s="138">
        <f>Y26+AF26+AN26+AV26+BD26+BL26+BT26+CB26+CJ26+CR26</f>
        <v>0</v>
      </c>
      <c r="R26" s="138" t="e">
        <f>Z26+AG26+AO26+AW26+BE26+BM26+BU26+CC26+CK26+CS26</f>
        <v>#VALUE!</v>
      </c>
      <c r="S26" s="168" t="e">
        <f>#REF!+AH26+AP26+AX26+BF26+BN26+BV26+CD26+CL26+CT26</f>
        <v>#REF!</v>
      </c>
      <c r="T26" s="376">
        <f>'Учебный план-з'!M25</f>
        <v>105</v>
      </c>
      <c r="U26" s="260">
        <f>'Учебный план-з'!D25</f>
        <v>0</v>
      </c>
      <c r="V26" s="260" t="str">
        <f>'Учебный план-з'!E25</f>
        <v>2</v>
      </c>
      <c r="W26" s="260" t="e">
        <f>'Учебный план-з'!#REF!</f>
        <v>#REF!</v>
      </c>
      <c r="X26" s="260">
        <f>'Учебный план-з'!G25</f>
        <v>0</v>
      </c>
      <c r="Y26" s="260">
        <f>'Учебный план-з'!H25</f>
        <v>0</v>
      </c>
      <c r="Z26" s="377" t="str">
        <f>'Учебный план-з'!B25</f>
        <v>Метрология и стандартизация</v>
      </c>
    </row>
    <row r="27" spans="1:26" x14ac:dyDescent="0.2">
      <c r="A27" s="336" t="s">
        <v>189</v>
      </c>
      <c r="B27" s="368" t="str">
        <f>'Учебный план'!B44</f>
        <v>Теория и устройство судна</v>
      </c>
      <c r="C27" s="143">
        <f>'Учебный план'!C44</f>
        <v>0</v>
      </c>
      <c r="D27" s="143" t="str">
        <f>'Учебный план'!D44</f>
        <v>4</v>
      </c>
      <c r="E27" s="143">
        <f>'Учебный план'!E44</f>
        <v>0</v>
      </c>
      <c r="F27" s="143">
        <f>'Учебный план'!F44</f>
        <v>0</v>
      </c>
      <c r="G27" s="143">
        <f>'Учебный план'!G44</f>
        <v>0</v>
      </c>
      <c r="H27" s="143" t="str">
        <f>'Учебный план'!H44</f>
        <v>3</v>
      </c>
      <c r="I27" s="136"/>
      <c r="J27" s="140"/>
      <c r="K27" s="366">
        <f>'Учебный план'!K44</f>
        <v>131</v>
      </c>
      <c r="L27" s="355" t="e">
        <f t="shared" si="9"/>
        <v>#REF!</v>
      </c>
      <c r="M27" s="138">
        <f t="shared" si="10"/>
        <v>2</v>
      </c>
      <c r="N27" s="138">
        <f t="shared" si="10"/>
        <v>0</v>
      </c>
      <c r="O27" s="138" t="e">
        <f t="shared" si="10"/>
        <v>#REF!</v>
      </c>
      <c r="P27" s="138">
        <f t="shared" si="10"/>
        <v>0</v>
      </c>
      <c r="Q27" s="138">
        <f>Y27+AF27+AN27+AV27+BD27+BL27+BT27+CB27+CJ27+CR27</f>
        <v>0</v>
      </c>
      <c r="R27" s="138" t="e">
        <f>Z27+AG27+AO27+AW27+BE27+BM27+BU27+CC27+CK27+CS27</f>
        <v>#VALUE!</v>
      </c>
      <c r="S27" s="168" t="e">
        <f>#REF!+AH27+AP27+AX27+BF27+BN27+BV27+CD27+CL27+CT27</f>
        <v>#REF!</v>
      </c>
      <c r="T27" s="376">
        <f>'Учебный план-з'!M26</f>
        <v>131</v>
      </c>
      <c r="U27" s="260" t="str">
        <f>'Учебный план-з'!D26</f>
        <v>2</v>
      </c>
      <c r="V27" s="260">
        <f>'Учебный план-з'!E26</f>
        <v>0</v>
      </c>
      <c r="W27" s="260" t="e">
        <f>'Учебный план-з'!#REF!</f>
        <v>#REF!</v>
      </c>
      <c r="X27" s="260">
        <f>'Учебный план-з'!G26</f>
        <v>0</v>
      </c>
      <c r="Y27" s="260">
        <f>'Учебный план-з'!H26</f>
        <v>0</v>
      </c>
      <c r="Z27" s="377" t="str">
        <f>'Учебный план-з'!B26</f>
        <v>Теория и устройство судна</v>
      </c>
    </row>
    <row r="28" spans="1:26" ht="25.5" x14ac:dyDescent="0.2">
      <c r="A28" s="336" t="s">
        <v>190</v>
      </c>
      <c r="B28" s="368" t="str">
        <f>'Учебный план'!B45</f>
        <v>Техническая термодинамика и теплопередача</v>
      </c>
      <c r="C28" s="143">
        <f>'Учебный план'!C45</f>
        <v>0</v>
      </c>
      <c r="D28" s="143" t="str">
        <f>'Учебный план'!D45</f>
        <v>5</v>
      </c>
      <c r="E28" s="143">
        <f>'Учебный план'!E45</f>
        <v>0</v>
      </c>
      <c r="F28" s="143">
        <f>'Учебный план'!F45</f>
        <v>0</v>
      </c>
      <c r="G28" s="143">
        <f>'Учебный план'!G45</f>
        <v>0</v>
      </c>
      <c r="H28" s="143" t="str">
        <f>'Учебный план'!H45</f>
        <v>4</v>
      </c>
      <c r="I28" s="136"/>
      <c r="J28" s="140"/>
      <c r="K28" s="366">
        <f>'Учебный план'!K45</f>
        <v>110</v>
      </c>
      <c r="L28" s="355" t="e">
        <f t="shared" si="9"/>
        <v>#REF!</v>
      </c>
      <c r="M28" s="138">
        <f t="shared" si="10"/>
        <v>2</v>
      </c>
      <c r="N28" s="138">
        <f t="shared" si="10"/>
        <v>0</v>
      </c>
      <c r="O28" s="138" t="e">
        <f t="shared" si="10"/>
        <v>#REF!</v>
      </c>
      <c r="P28" s="138">
        <f t="shared" si="10"/>
        <v>0</v>
      </c>
      <c r="Q28" s="138">
        <f>Y28+AF28+AN28+AV28+BD28+BL28+BT28+CB28+CJ28+CR28</f>
        <v>0</v>
      </c>
      <c r="R28" s="138" t="e">
        <f>Z28+AG28+AO28+AW28+BE28+BM28+BU28+CC28+CK28+CS28</f>
        <v>#VALUE!</v>
      </c>
      <c r="S28" s="168" t="e">
        <f>#REF!+AH28+AP28+AX28+BF28+BN28+BV28+CD28+CL28+CT28</f>
        <v>#REF!</v>
      </c>
      <c r="T28" s="376">
        <f>'Учебный план-з'!M27</f>
        <v>110</v>
      </c>
      <c r="U28" s="260" t="str">
        <f>'Учебный план-з'!D27</f>
        <v>2</v>
      </c>
      <c r="V28" s="260">
        <f>'Учебный план-з'!E27</f>
        <v>0</v>
      </c>
      <c r="W28" s="260" t="e">
        <f>'Учебный план-з'!#REF!</f>
        <v>#REF!</v>
      </c>
      <c r="X28" s="260">
        <f>'Учебный план-з'!G27</f>
        <v>0</v>
      </c>
      <c r="Y28" s="260">
        <f>'Учебный план-з'!H27</f>
        <v>0</v>
      </c>
      <c r="Z28" s="381" t="str">
        <f>'Учебный план-з'!B27</f>
        <v>Техническая термодинамика и теплопередача</v>
      </c>
    </row>
    <row r="29" spans="1:26" ht="25.5" x14ac:dyDescent="0.2">
      <c r="A29" s="336" t="s">
        <v>191</v>
      </c>
      <c r="B29" s="368" t="str">
        <f>'Учебный план'!B46</f>
        <v>Безопасность жизнедеятельности</v>
      </c>
      <c r="C29" s="143">
        <f>'Учебный план'!C46</f>
        <v>0</v>
      </c>
      <c r="D29" s="143">
        <f>'Учебный план'!D46</f>
        <v>0</v>
      </c>
      <c r="E29" s="143" t="str">
        <f>'Учебный план'!E46</f>
        <v>5</v>
      </c>
      <c r="F29" s="143">
        <f>'Учебный план'!F46</f>
        <v>0</v>
      </c>
      <c r="G29" s="143">
        <f>'Учебный план'!G46</f>
        <v>0</v>
      </c>
      <c r="H29" s="143" t="str">
        <f>'Учебный план'!H46</f>
        <v>4</v>
      </c>
      <c r="I29" s="136"/>
      <c r="J29" s="140"/>
      <c r="K29" s="366">
        <f>'Учебный план'!K46</f>
        <v>108</v>
      </c>
      <c r="L29" s="355" t="e">
        <f t="shared" si="9"/>
        <v>#REF!</v>
      </c>
      <c r="M29" s="138">
        <f t="shared" si="10"/>
        <v>0</v>
      </c>
      <c r="N29" s="138">
        <f t="shared" si="10"/>
        <v>3</v>
      </c>
      <c r="O29" s="138" t="e">
        <f t="shared" si="10"/>
        <v>#REF!</v>
      </c>
      <c r="P29" s="138">
        <f t="shared" si="10"/>
        <v>0</v>
      </c>
      <c r="Q29" s="138">
        <f>Y29+AF29+AN29+AV29+BD29+BL29+BT29+CB29+CJ29+CR29</f>
        <v>0</v>
      </c>
      <c r="R29" s="138" t="e">
        <f>Z29+AG29+AO29+AW29+BE29+BM29+BU29+CC29+CK29+CS29</f>
        <v>#VALUE!</v>
      </c>
      <c r="S29" s="168" t="e">
        <f>#REF!+AH29+AP29+AX29+BF29+BN29+BV29+CD29+CL29+CT29</f>
        <v>#REF!</v>
      </c>
      <c r="T29" s="376">
        <f>'Учебный план-з'!M28</f>
        <v>108</v>
      </c>
      <c r="U29" s="260">
        <f>'Учебный план-з'!D28</f>
        <v>0</v>
      </c>
      <c r="V29" s="260" t="str">
        <f>'Учебный план-з'!E28</f>
        <v>3</v>
      </c>
      <c r="W29" s="260" t="e">
        <f>'Учебный план-з'!#REF!</f>
        <v>#REF!</v>
      </c>
      <c r="X29" s="260">
        <f>'Учебный план-з'!G28</f>
        <v>0</v>
      </c>
      <c r="Y29" s="260">
        <f>'Учебный план-з'!H28</f>
        <v>0</v>
      </c>
      <c r="Z29" s="377" t="str">
        <f>'Учебный план-з'!B28</f>
        <v>Безопасность жизнедеятельности</v>
      </c>
    </row>
    <row r="30" spans="1:26" ht="13.5" thickBot="1" x14ac:dyDescent="0.25">
      <c r="A30" s="320" t="s">
        <v>172</v>
      </c>
      <c r="B30" s="1004" t="s">
        <v>178</v>
      </c>
      <c r="C30" s="1005"/>
      <c r="D30" s="146"/>
      <c r="E30" s="146"/>
      <c r="F30" s="146"/>
      <c r="G30" s="146"/>
      <c r="H30" s="146"/>
      <c r="I30" s="155">
        <v>1392</v>
      </c>
      <c r="J30" s="255">
        <v>928</v>
      </c>
      <c r="K30" s="367">
        <f>'Учебный план'!K47</f>
        <v>2031</v>
      </c>
      <c r="L30" s="358" t="e">
        <f t="shared" ref="L30:S30" si="11">L31+L40+L45+L48</f>
        <v>#REF!</v>
      </c>
      <c r="M30" s="147" t="e">
        <f t="shared" si="11"/>
        <v>#REF!</v>
      </c>
      <c r="N30" s="147" t="e">
        <f t="shared" si="11"/>
        <v>#REF!</v>
      </c>
      <c r="O30" s="147" t="e">
        <f t="shared" si="11"/>
        <v>#REF!</v>
      </c>
      <c r="P30" s="147" t="e">
        <f t="shared" si="11"/>
        <v>#REF!</v>
      </c>
      <c r="Q30" s="147" t="e">
        <f t="shared" si="11"/>
        <v>#REF!</v>
      </c>
      <c r="R30" s="147" t="e">
        <f t="shared" si="11"/>
        <v>#VALUE!</v>
      </c>
      <c r="S30" s="160" t="e">
        <f t="shared" si="11"/>
        <v>#REF!</v>
      </c>
      <c r="T30" s="376">
        <f>'Учебный план-з'!M29</f>
        <v>2031</v>
      </c>
      <c r="U30" s="265">
        <f>'Учебный план-з'!D29</f>
        <v>0</v>
      </c>
      <c r="V30" s="265">
        <f>'Учебный план-з'!E29</f>
        <v>0</v>
      </c>
      <c r="W30" s="265" t="e">
        <f>'Учебный план-з'!#REF!</f>
        <v>#REF!</v>
      </c>
      <c r="X30" s="265">
        <f>'Учебный план-з'!G29</f>
        <v>0</v>
      </c>
      <c r="Y30" s="265">
        <f>'Учебный план-з'!H29</f>
        <v>0</v>
      </c>
      <c r="Z30" s="379" t="str">
        <f>'Учебный план-з'!B29</f>
        <v>Профессиональные модули</v>
      </c>
    </row>
    <row r="31" spans="1:26" ht="39" thickBot="1" x14ac:dyDescent="0.25">
      <c r="A31" s="342" t="s">
        <v>398</v>
      </c>
      <c r="B31" s="986" t="s">
        <v>401</v>
      </c>
      <c r="C31" s="987"/>
      <c r="D31" s="987"/>
      <c r="E31" s="987"/>
      <c r="F31" s="987"/>
      <c r="G31" s="987"/>
      <c r="H31" s="988"/>
      <c r="I31" s="157"/>
      <c r="J31" s="256"/>
      <c r="K31" s="367">
        <f>'Учебный план'!K48</f>
        <v>1561</v>
      </c>
      <c r="L31" s="359" t="e">
        <f t="shared" ref="L31:S31" si="12">SUM(L32:L39)</f>
        <v>#REF!</v>
      </c>
      <c r="M31" s="158" t="e">
        <f t="shared" si="12"/>
        <v>#REF!</v>
      </c>
      <c r="N31" s="158" t="e">
        <f t="shared" si="12"/>
        <v>#REF!</v>
      </c>
      <c r="O31" s="158" t="e">
        <f t="shared" si="12"/>
        <v>#REF!</v>
      </c>
      <c r="P31" s="158" t="e">
        <f t="shared" si="12"/>
        <v>#REF!</v>
      </c>
      <c r="Q31" s="158" t="e">
        <f t="shared" si="12"/>
        <v>#REF!</v>
      </c>
      <c r="R31" s="158" t="e">
        <f t="shared" si="12"/>
        <v>#VALUE!</v>
      </c>
      <c r="S31" s="159" t="e">
        <f t="shared" si="12"/>
        <v>#REF!</v>
      </c>
      <c r="T31" s="376">
        <f>'Учебный план-з'!M30</f>
        <v>1561</v>
      </c>
      <c r="U31" s="265">
        <f>'Учебный план-з'!D30</f>
        <v>0</v>
      </c>
      <c r="V31" s="265">
        <f>'Учебный план-з'!E30</f>
        <v>0</v>
      </c>
      <c r="W31" s="265" t="e">
        <f>'Учебный план-з'!#REF!</f>
        <v>#REF!</v>
      </c>
      <c r="X31" s="265">
        <f>'Учебный план-з'!G30</f>
        <v>0</v>
      </c>
      <c r="Y31" s="265">
        <f>'Учебный план-з'!H30</f>
        <v>0</v>
      </c>
      <c r="Z31" s="382" t="str">
        <f>'Учебный план-з'!B30</f>
        <v>Эксплуатация, техническое обслуживание и ремонт судового энергетичсеского оборудования</v>
      </c>
    </row>
    <row r="32" spans="1:26" ht="51" x14ac:dyDescent="0.2">
      <c r="A32" s="343" t="s">
        <v>445</v>
      </c>
      <c r="B32" s="368" t="str">
        <f>'Учебный план'!B50</f>
        <v>Судовые энергетические установки и их эксплуатация (включая тренажер вахтенного механика)</v>
      </c>
      <c r="C32" s="143">
        <f>'Учебный план'!C50</f>
        <v>0</v>
      </c>
      <c r="D32" s="143" t="str">
        <f>'Учебный план'!D50</f>
        <v>6</v>
      </c>
      <c r="E32" s="143" t="str">
        <f>'Учебный план'!E50</f>
        <v>8</v>
      </c>
      <c r="F32" s="143">
        <f>'Учебный план'!F50</f>
        <v>0</v>
      </c>
      <c r="G32" s="143" t="str">
        <f>'Учебный план'!G50</f>
        <v>6</v>
      </c>
      <c r="H32" s="143" t="str">
        <f>'Учебный план'!H50</f>
        <v>5,7</v>
      </c>
      <c r="I32" s="136"/>
      <c r="J32" s="140"/>
      <c r="K32" s="366">
        <f>'Учебный план'!K50</f>
        <v>522</v>
      </c>
      <c r="L32" s="355" t="e">
        <f>SUM(M32:Q32)</f>
        <v>#REF!</v>
      </c>
      <c r="M32" s="138">
        <f t="shared" ref="M32:R35" si="13">U32+AB32+AJ32+AR32+AZ32+BH32+BP32+BX32+CF32+CN32</f>
        <v>3</v>
      </c>
      <c r="N32" s="138">
        <f t="shared" si="13"/>
        <v>4</v>
      </c>
      <c r="O32" s="138" t="e">
        <f t="shared" si="13"/>
        <v>#REF!</v>
      </c>
      <c r="P32" s="138">
        <f t="shared" si="13"/>
        <v>3</v>
      </c>
      <c r="Q32" s="138">
        <f t="shared" si="13"/>
        <v>0</v>
      </c>
      <c r="R32" s="138" t="e">
        <f t="shared" si="13"/>
        <v>#VALUE!</v>
      </c>
      <c r="S32" s="168" t="e">
        <f>#REF!+AH32+AP32+AX32+BF32+BN32+BV32+CD32+CL32+CT32</f>
        <v>#REF!</v>
      </c>
      <c r="T32" s="376">
        <f>'Учебный план-з'!M32</f>
        <v>522</v>
      </c>
      <c r="U32" s="260" t="str">
        <f>'Учебный план-з'!D32</f>
        <v>3</v>
      </c>
      <c r="V32" s="260" t="str">
        <f>'Учебный план-з'!E32</f>
        <v>4</v>
      </c>
      <c r="W32" s="260" t="e">
        <f>'Учебный план-з'!#REF!</f>
        <v>#REF!</v>
      </c>
      <c r="X32" s="260" t="str">
        <f>'Учебный план-з'!G32</f>
        <v>3</v>
      </c>
      <c r="Y32" s="260">
        <f>'Учебный план-з'!H32</f>
        <v>0</v>
      </c>
      <c r="Z32" s="381" t="str">
        <f>'Учебный план-з'!B32</f>
        <v>Судовые энергетические установки и их эксплуатация (включая тренажер вахтенного механика)</v>
      </c>
    </row>
    <row r="33" spans="1:26" ht="25.5" x14ac:dyDescent="0.2">
      <c r="A33" s="343" t="s">
        <v>446</v>
      </c>
      <c r="B33" s="368" t="str">
        <f>'Учебный план'!B51</f>
        <v>Судовые вспомогательные механизмы и их эксплуатация</v>
      </c>
      <c r="C33" s="143">
        <f>'Учебный план'!C51</f>
        <v>0</v>
      </c>
      <c r="D33" s="143" t="str">
        <f>'Учебный план'!D51</f>
        <v>6</v>
      </c>
      <c r="E33" s="143" t="str">
        <f>'Учебный план'!E51</f>
        <v>8</v>
      </c>
      <c r="F33" s="143">
        <f>'Учебный план'!F51</f>
        <v>0</v>
      </c>
      <c r="G33" s="143">
        <f>'Учебный план'!G51</f>
        <v>0</v>
      </c>
      <c r="H33" s="143" t="str">
        <f>'Учебный план'!H51</f>
        <v>5,7</v>
      </c>
      <c r="I33" s="136"/>
      <c r="J33" s="140"/>
      <c r="K33" s="366">
        <f>'Учебный план'!K51</f>
        <v>346</v>
      </c>
      <c r="L33" s="355" t="e">
        <f t="shared" ref="L33:L35" si="14">SUM(M33:Q33)</f>
        <v>#REF!</v>
      </c>
      <c r="M33" s="138">
        <f t="shared" si="13"/>
        <v>3</v>
      </c>
      <c r="N33" s="138">
        <f t="shared" si="13"/>
        <v>4</v>
      </c>
      <c r="O33" s="138" t="e">
        <f t="shared" si="13"/>
        <v>#REF!</v>
      </c>
      <c r="P33" s="138">
        <f t="shared" si="13"/>
        <v>0</v>
      </c>
      <c r="Q33" s="138">
        <f t="shared" si="13"/>
        <v>0</v>
      </c>
      <c r="R33" s="138" t="e">
        <f t="shared" si="13"/>
        <v>#VALUE!</v>
      </c>
      <c r="S33" s="168" t="e">
        <f>#REF!+AH33+AP33+AX33+BF33+BN33+BV33+CD33+CL33+CT33</f>
        <v>#REF!</v>
      </c>
      <c r="T33" s="376">
        <f>'Учебный план-з'!M33</f>
        <v>346</v>
      </c>
      <c r="U33" s="260" t="str">
        <f>'Учебный план-з'!D33</f>
        <v>3</v>
      </c>
      <c r="V33" s="260" t="str">
        <f>'Учебный план-з'!E33</f>
        <v>4</v>
      </c>
      <c r="W33" s="260" t="e">
        <f>'Учебный план-з'!#REF!</f>
        <v>#REF!</v>
      </c>
      <c r="X33" s="260">
        <f>'Учебный план-з'!G33</f>
        <v>0</v>
      </c>
      <c r="Y33" s="260">
        <f>'Учебный план-з'!H33</f>
        <v>0</v>
      </c>
      <c r="Z33" s="381" t="str">
        <f>'Учебный план-з'!B33</f>
        <v>Судовые вспомогательные механизмы и их эксплуатация</v>
      </c>
    </row>
    <row r="34" spans="1:26" ht="38.25" x14ac:dyDescent="0.2">
      <c r="A34" s="343" t="s">
        <v>447</v>
      </c>
      <c r="B34" s="368" t="str">
        <f>'Учебный план'!B52</f>
        <v>Техническое обслуживание и ремонт судового оборудования</v>
      </c>
      <c r="C34" s="143">
        <f>'Учебный план'!C52</f>
        <v>0</v>
      </c>
      <c r="D34" s="143">
        <f>'Учебный план'!D52</f>
        <v>0</v>
      </c>
      <c r="E34" s="143" t="str">
        <f>'Учебный план'!E52</f>
        <v>8</v>
      </c>
      <c r="F34" s="143">
        <f>'Учебный план'!F52</f>
        <v>0</v>
      </c>
      <c r="G34" s="143">
        <f>'Учебный план'!G52</f>
        <v>0</v>
      </c>
      <c r="H34" s="143" t="str">
        <f>'Учебный план'!H52</f>
        <v>5,6,7</v>
      </c>
      <c r="I34" s="136"/>
      <c r="J34" s="140"/>
      <c r="K34" s="366">
        <f>'Учебный план'!K52</f>
        <v>205</v>
      </c>
      <c r="L34" s="355" t="e">
        <f t="shared" si="14"/>
        <v>#REF!</v>
      </c>
      <c r="M34" s="138">
        <f t="shared" si="13"/>
        <v>0</v>
      </c>
      <c r="N34" s="138">
        <f t="shared" si="13"/>
        <v>4</v>
      </c>
      <c r="O34" s="138" t="e">
        <f t="shared" si="13"/>
        <v>#REF!</v>
      </c>
      <c r="P34" s="138">
        <f t="shared" si="13"/>
        <v>0</v>
      </c>
      <c r="Q34" s="138">
        <f t="shared" si="13"/>
        <v>0</v>
      </c>
      <c r="R34" s="138" t="e">
        <f t="shared" si="13"/>
        <v>#VALUE!</v>
      </c>
      <c r="S34" s="168" t="e">
        <f>#REF!+AH34+AP34+AX34+BF34+BN34+BV34+CD34+CL34+CT34</f>
        <v>#REF!</v>
      </c>
      <c r="T34" s="376">
        <f>'Учебный план-з'!M34</f>
        <v>205</v>
      </c>
      <c r="U34" s="260">
        <f>'Учебный план-з'!D34</f>
        <v>0</v>
      </c>
      <c r="V34" s="260" t="str">
        <f>'Учебный план-з'!E34</f>
        <v>4</v>
      </c>
      <c r="W34" s="260" t="e">
        <f>'Учебный план-з'!#REF!</f>
        <v>#REF!</v>
      </c>
      <c r="X34" s="260">
        <f>'Учебный план-з'!G34</f>
        <v>0</v>
      </c>
      <c r="Y34" s="260">
        <f>'Учебный план-з'!H34</f>
        <v>0</v>
      </c>
      <c r="Z34" s="381" t="str">
        <f>'Учебный план-з'!B34</f>
        <v>Техническое обслуживание и ремонт судового оборудования</v>
      </c>
    </row>
    <row r="35" spans="1:26" ht="25.5" x14ac:dyDescent="0.2">
      <c r="A35" s="343" t="s">
        <v>448</v>
      </c>
      <c r="B35" s="368" t="str">
        <f>'Учебный план'!B53</f>
        <v>Техническая эксплуатация судовой автоматики</v>
      </c>
      <c r="C35" s="143">
        <f>'Учебный план'!C53</f>
        <v>0</v>
      </c>
      <c r="D35" s="143">
        <f>'Учебный план'!D53</f>
        <v>0</v>
      </c>
      <c r="E35" s="143" t="str">
        <f>'Учебный план'!E53</f>
        <v>6</v>
      </c>
      <c r="F35" s="143">
        <f>'Учебный план'!F53</f>
        <v>0</v>
      </c>
      <c r="G35" s="143">
        <f>'Учебный план'!G53</f>
        <v>0</v>
      </c>
      <c r="H35" s="143">
        <f>'Учебный план'!H53</f>
        <v>0</v>
      </c>
      <c r="I35" s="136"/>
      <c r="J35" s="140"/>
      <c r="K35" s="366">
        <f>'Учебный план'!K53</f>
        <v>78</v>
      </c>
      <c r="L35" s="355" t="e">
        <f t="shared" si="14"/>
        <v>#REF!</v>
      </c>
      <c r="M35" s="138">
        <f t="shared" si="13"/>
        <v>0</v>
      </c>
      <c r="N35" s="138">
        <f t="shared" si="13"/>
        <v>4</v>
      </c>
      <c r="O35" s="138" t="e">
        <f t="shared" si="13"/>
        <v>#REF!</v>
      </c>
      <c r="P35" s="138">
        <f t="shared" si="13"/>
        <v>0</v>
      </c>
      <c r="Q35" s="138">
        <f t="shared" si="13"/>
        <v>0</v>
      </c>
      <c r="R35" s="138" t="e">
        <f t="shared" si="13"/>
        <v>#VALUE!</v>
      </c>
      <c r="S35" s="168" t="e">
        <f>#REF!+AH35+AP35+AX35+BF35+BN35+BV35+CD35+CL35+CT35</f>
        <v>#REF!</v>
      </c>
      <c r="T35" s="376">
        <f>'Учебный план-з'!M35</f>
        <v>78</v>
      </c>
      <c r="U35" s="260">
        <f>'Учебный план-з'!D35</f>
        <v>0</v>
      </c>
      <c r="V35" s="260" t="str">
        <f>'Учебный план-з'!E35</f>
        <v>4</v>
      </c>
      <c r="W35" s="260" t="e">
        <f>'Учебный план-з'!#REF!</f>
        <v>#REF!</v>
      </c>
      <c r="X35" s="260">
        <f>'Учебный план-з'!G35</f>
        <v>0</v>
      </c>
      <c r="Y35" s="260">
        <f>'Учебный план-з'!H35</f>
        <v>0</v>
      </c>
      <c r="Z35" s="381" t="str">
        <f>'Учебный план-з'!B35</f>
        <v>Техническая эксплуатация судовой автоматики</v>
      </c>
    </row>
    <row r="36" spans="1:26" x14ac:dyDescent="0.2">
      <c r="A36" s="343"/>
      <c r="B36" s="368" t="str">
        <f>'Учебный план'!B54</f>
        <v>Электрооборудование судов</v>
      </c>
      <c r="C36" s="143">
        <f>'Учебный план'!C54</f>
        <v>0</v>
      </c>
      <c r="D36" s="143">
        <f>'Учебный план'!D54</f>
        <v>0</v>
      </c>
      <c r="E36" s="143" t="str">
        <f>'Учебный план'!E54</f>
        <v>6,8</v>
      </c>
      <c r="F36" s="143">
        <f>'Учебный план'!F54</f>
        <v>0</v>
      </c>
      <c r="G36" s="143">
        <f>'Учебный план'!G54</f>
        <v>0</v>
      </c>
      <c r="H36" s="143" t="str">
        <f>'Учебный план'!H54</f>
        <v>7</v>
      </c>
      <c r="I36" s="136"/>
      <c r="J36" s="140"/>
      <c r="K36" s="366">
        <f>'Учебный план'!K54</f>
        <v>199</v>
      </c>
      <c r="L36" s="355" t="e">
        <f t="shared" ref="L36:L39" si="15">SUM(M36:Q36)</f>
        <v>#REF!</v>
      </c>
      <c r="M36" s="138">
        <f t="shared" ref="M36:M39" si="16">U36+AB36+AJ36+AR36+AZ36+BH36+BP36+BX36+CF36+CN36</f>
        <v>0</v>
      </c>
      <c r="N36" s="138">
        <f t="shared" ref="N36:N39" si="17">V36+AC36+AK36+AS36+BA36+BI36+BQ36+BY36+CG36+CO36</f>
        <v>4</v>
      </c>
      <c r="O36" s="138" t="e">
        <f t="shared" ref="O36:O39" si="18">W36+AD36+AL36+AT36+BB36+BJ36+BR36+BZ36+CH36+CP36</f>
        <v>#REF!</v>
      </c>
      <c r="P36" s="138">
        <f t="shared" ref="P36:P39" si="19">X36+AE36+AM36+AU36+BC36+BK36+BS36+CA36+CI36+CQ36</f>
        <v>0</v>
      </c>
      <c r="Q36" s="138">
        <f t="shared" ref="Q36:Q39" si="20">Y36+AF36+AN36+AV36+BD36+BL36+BT36+CB36+CJ36+CR36</f>
        <v>0</v>
      </c>
      <c r="R36" s="138" t="e">
        <f t="shared" ref="R36:R39" si="21">Z36+AG36+AO36+AW36+BE36+BM36+BU36+CC36+CK36+CS36</f>
        <v>#VALUE!</v>
      </c>
      <c r="S36" s="168" t="e">
        <f>#REF!+AH36+AP36+AX36+BF36+BN36+BV36+CD36+CL36+CT36</f>
        <v>#REF!</v>
      </c>
      <c r="T36" s="376">
        <f>'Учебный план-з'!M36</f>
        <v>199</v>
      </c>
      <c r="U36" s="260">
        <f>'Учебный план-з'!D36</f>
        <v>0</v>
      </c>
      <c r="V36" s="260" t="str">
        <f>'Учебный план-з'!E36</f>
        <v>4</v>
      </c>
      <c r="W36" s="260" t="e">
        <f>'Учебный план-з'!#REF!</f>
        <v>#REF!</v>
      </c>
      <c r="X36" s="260">
        <f>'Учебный план-з'!G36</f>
        <v>0</v>
      </c>
      <c r="Y36" s="260">
        <f>'Учебный план-з'!H36</f>
        <v>0</v>
      </c>
      <c r="Z36" s="381" t="str">
        <f>'Учебный план-з'!B36</f>
        <v>Электрооборудование судов</v>
      </c>
    </row>
    <row r="37" spans="1:26" ht="38.25" x14ac:dyDescent="0.2">
      <c r="A37" s="343" t="s">
        <v>449</v>
      </c>
      <c r="B37" s="368" t="str">
        <f>'Учебный план'!B55</f>
        <v>Национальные и международные требования по эксплуатации судна</v>
      </c>
      <c r="C37" s="143">
        <f>'Учебный план'!C55</f>
        <v>0</v>
      </c>
      <c r="D37" s="143">
        <f>'Учебный план'!D55</f>
        <v>0</v>
      </c>
      <c r="E37" s="143" t="str">
        <f>'Учебный план'!E55</f>
        <v>6</v>
      </c>
      <c r="F37" s="143">
        <f>'Учебный план'!F55</f>
        <v>0</v>
      </c>
      <c r="G37" s="143">
        <f>'Учебный план'!G55</f>
        <v>0</v>
      </c>
      <c r="H37" s="143">
        <f>'Учебный план'!H55</f>
        <v>0</v>
      </c>
      <c r="I37" s="136"/>
      <c r="J37" s="140"/>
      <c r="K37" s="366">
        <f>'Учебный план'!K55</f>
        <v>48</v>
      </c>
      <c r="L37" s="355" t="e">
        <f t="shared" si="15"/>
        <v>#REF!</v>
      </c>
      <c r="M37" s="138">
        <f t="shared" si="16"/>
        <v>0</v>
      </c>
      <c r="N37" s="138">
        <f t="shared" si="17"/>
        <v>3</v>
      </c>
      <c r="O37" s="138" t="e">
        <f t="shared" si="18"/>
        <v>#REF!</v>
      </c>
      <c r="P37" s="138">
        <f t="shared" si="19"/>
        <v>0</v>
      </c>
      <c r="Q37" s="138">
        <f t="shared" si="20"/>
        <v>0</v>
      </c>
      <c r="R37" s="138" t="e">
        <f t="shared" si="21"/>
        <v>#VALUE!</v>
      </c>
      <c r="S37" s="168" t="e">
        <f>#REF!+AH37+AP37+AX37+BF37+BN37+BV37+CD37+CL37+CT37</f>
        <v>#REF!</v>
      </c>
      <c r="T37" s="376">
        <f>'Учебный план-з'!M37</f>
        <v>48</v>
      </c>
      <c r="U37" s="260">
        <f>'Учебный план-з'!D37</f>
        <v>0</v>
      </c>
      <c r="V37" s="260" t="str">
        <f>'Учебный план-з'!E37</f>
        <v>3</v>
      </c>
      <c r="W37" s="260" t="e">
        <f>'Учебный план-з'!#REF!</f>
        <v>#REF!</v>
      </c>
      <c r="X37" s="260">
        <f>'Учебный план-з'!G37</f>
        <v>0</v>
      </c>
      <c r="Y37" s="260">
        <f>'Учебный план-з'!H37</f>
        <v>0</v>
      </c>
      <c r="Z37" s="381" t="str">
        <f>'Учебный план-з'!B37</f>
        <v>Национальные и международные требования по эксплуатации судна</v>
      </c>
    </row>
    <row r="38" spans="1:26" ht="26.25" thickBot="1" x14ac:dyDescent="0.25">
      <c r="A38" s="343" t="s">
        <v>450</v>
      </c>
      <c r="B38" s="368" t="str">
        <f>'Учебный план'!B57</f>
        <v>Предотвращение загрязнения морской окружающей среды</v>
      </c>
      <c r="C38" s="143">
        <f>'Учебный план'!C57</f>
        <v>0</v>
      </c>
      <c r="D38" s="143">
        <f>'Учебный план'!D57</f>
        <v>0</v>
      </c>
      <c r="E38" s="143" t="str">
        <f>'Учебный план'!E57</f>
        <v>5</v>
      </c>
      <c r="F38" s="143">
        <f>'Учебный план'!F57</f>
        <v>0</v>
      </c>
      <c r="G38" s="143">
        <f>'Учебный план'!G57</f>
        <v>0</v>
      </c>
      <c r="H38" s="143">
        <f>'Учебный план'!H57</f>
        <v>0</v>
      </c>
      <c r="I38" s="136"/>
      <c r="J38" s="140"/>
      <c r="K38" s="366">
        <f>'Учебный план'!K57</f>
        <v>54</v>
      </c>
      <c r="L38" s="355" t="e">
        <f t="shared" si="15"/>
        <v>#REF!</v>
      </c>
      <c r="M38" s="138">
        <f t="shared" si="16"/>
        <v>0</v>
      </c>
      <c r="N38" s="138">
        <f t="shared" si="17"/>
        <v>3</v>
      </c>
      <c r="O38" s="138" t="e">
        <f t="shared" si="18"/>
        <v>#REF!</v>
      </c>
      <c r="P38" s="138">
        <f t="shared" si="19"/>
        <v>0</v>
      </c>
      <c r="Q38" s="138">
        <f t="shared" si="20"/>
        <v>0</v>
      </c>
      <c r="R38" s="138" t="e">
        <f t="shared" si="21"/>
        <v>#VALUE!</v>
      </c>
      <c r="S38" s="168" t="e">
        <f>#REF!+AH38+AP38+AX38+BF38+BN38+BV38+CD38+CL38+CT38</f>
        <v>#REF!</v>
      </c>
      <c r="T38" s="376">
        <f>'Учебный план-з'!M39</f>
        <v>54</v>
      </c>
      <c r="U38" s="260">
        <f>'Учебный план-з'!D39</f>
        <v>0</v>
      </c>
      <c r="V38" s="260" t="str">
        <f>'Учебный план-з'!E39</f>
        <v>3</v>
      </c>
      <c r="W38" s="260" t="e">
        <f>'Учебный план-з'!#REF!</f>
        <v>#REF!</v>
      </c>
      <c r="X38" s="260">
        <f>'Учебный план-з'!G39</f>
        <v>0</v>
      </c>
      <c r="Y38" s="260">
        <f>'Учебный план-з'!H39</f>
        <v>0</v>
      </c>
      <c r="Z38" s="381" t="str">
        <f>'Учебный план-з'!B39</f>
        <v>Предотвращение загрязнения морской окружающей среды</v>
      </c>
    </row>
    <row r="39" spans="1:26" ht="13.5" hidden="1" thickBot="1" x14ac:dyDescent="0.25">
      <c r="A39" s="343" t="s">
        <v>451</v>
      </c>
      <c r="B39" s="368" t="e">
        <f>'Учебный план'!#REF!</f>
        <v>#REF!</v>
      </c>
      <c r="C39" s="143" t="e">
        <f>'Учебный план'!#REF!</f>
        <v>#REF!</v>
      </c>
      <c r="D39" s="143" t="e">
        <f>'Учебный план'!#REF!</f>
        <v>#REF!</v>
      </c>
      <c r="E39" s="143" t="e">
        <f>'Учебный план'!#REF!</f>
        <v>#REF!</v>
      </c>
      <c r="F39" s="143" t="e">
        <f>'Учебный план'!#REF!</f>
        <v>#REF!</v>
      </c>
      <c r="G39" s="143" t="e">
        <f>'Учебный план'!#REF!</f>
        <v>#REF!</v>
      </c>
      <c r="H39" s="143" t="e">
        <f>'Учебный план'!#REF!</f>
        <v>#REF!</v>
      </c>
      <c r="I39" s="136"/>
      <c r="J39" s="140"/>
      <c r="K39" s="366" t="e">
        <f>'Учебный план'!#REF!</f>
        <v>#REF!</v>
      </c>
      <c r="L39" s="355" t="e">
        <f t="shared" si="15"/>
        <v>#REF!</v>
      </c>
      <c r="M39" s="138" t="e">
        <f t="shared" si="16"/>
        <v>#REF!</v>
      </c>
      <c r="N39" s="138" t="e">
        <f t="shared" si="17"/>
        <v>#REF!</v>
      </c>
      <c r="O39" s="138" t="e">
        <f t="shared" si="18"/>
        <v>#REF!</v>
      </c>
      <c r="P39" s="138" t="e">
        <f t="shared" si="19"/>
        <v>#REF!</v>
      </c>
      <c r="Q39" s="138" t="e">
        <f t="shared" si="20"/>
        <v>#REF!</v>
      </c>
      <c r="R39" s="138" t="e">
        <f t="shared" si="21"/>
        <v>#REF!</v>
      </c>
      <c r="S39" s="168" t="e">
        <f>#REF!+AH39+AP39+AX39+BF39+BN39+BV39+CD39+CL39+CT39</f>
        <v>#REF!</v>
      </c>
      <c r="T39" s="376" t="e">
        <f>'Учебный план-з'!#REF!</f>
        <v>#REF!</v>
      </c>
      <c r="U39" s="260" t="e">
        <f>'Учебный план-з'!#REF!</f>
        <v>#REF!</v>
      </c>
      <c r="V39" s="260" t="e">
        <f>'Учебный план-з'!#REF!</f>
        <v>#REF!</v>
      </c>
      <c r="W39" s="260" t="e">
        <f>'Учебный план-з'!#REF!</f>
        <v>#REF!</v>
      </c>
      <c r="X39" s="260" t="e">
        <f>'Учебный план-з'!#REF!</f>
        <v>#REF!</v>
      </c>
      <c r="Y39" s="260" t="e">
        <f>'Учебный план-з'!#REF!</f>
        <v>#REF!</v>
      </c>
      <c r="Z39" s="381" t="e">
        <f>'Учебный план-з'!#REF!</f>
        <v>#REF!</v>
      </c>
    </row>
    <row r="40" spans="1:26" ht="26.25" thickBot="1" x14ac:dyDescent="0.25">
      <c r="A40" s="344" t="s">
        <v>338</v>
      </c>
      <c r="B40" s="986" t="s">
        <v>402</v>
      </c>
      <c r="C40" s="987"/>
      <c r="D40" s="987"/>
      <c r="E40" s="987"/>
      <c r="F40" s="987"/>
      <c r="G40" s="987"/>
      <c r="H40" s="988"/>
      <c r="I40" s="157"/>
      <c r="J40" s="256"/>
      <c r="K40" s="367">
        <f>'Учебный план'!K59</f>
        <v>204</v>
      </c>
      <c r="L40" s="359" t="e">
        <f t="shared" ref="L40" si="22">SUM(M40:Q40)</f>
        <v>#REF!</v>
      </c>
      <c r="M40" s="158">
        <f t="shared" ref="M40:R40" si="23">U40+AB40+AJ40+AR40+AZ40+BH40+BP40+BX40+CF40+CN40</f>
        <v>0</v>
      </c>
      <c r="N40" s="158">
        <f t="shared" si="23"/>
        <v>0</v>
      </c>
      <c r="O40" s="158" t="e">
        <f t="shared" si="23"/>
        <v>#REF!</v>
      </c>
      <c r="P40" s="158">
        <f t="shared" si="23"/>
        <v>0</v>
      </c>
      <c r="Q40" s="158">
        <f t="shared" si="23"/>
        <v>0</v>
      </c>
      <c r="R40" s="158" t="e">
        <f t="shared" si="23"/>
        <v>#VALUE!</v>
      </c>
      <c r="S40" s="159" t="e">
        <f>#REF!+AH40+AP40+AX40+BF40+BN40+BV40+CD40+CL40+CT40</f>
        <v>#REF!</v>
      </c>
      <c r="T40" s="376">
        <f>'Учебный план-з'!M41</f>
        <v>204</v>
      </c>
      <c r="U40" s="265">
        <f>'Учебный план-з'!D41</f>
        <v>0</v>
      </c>
      <c r="V40" s="265">
        <f>'Учебный план-з'!E41</f>
        <v>0</v>
      </c>
      <c r="W40" s="265" t="e">
        <f>'Учебный план-з'!#REF!</f>
        <v>#REF!</v>
      </c>
      <c r="X40" s="265">
        <f>'Учебный план-з'!G41</f>
        <v>0</v>
      </c>
      <c r="Y40" s="265">
        <f>'Учебный план-з'!H41</f>
        <v>0</v>
      </c>
      <c r="Z40" s="382" t="str">
        <f>'Учебный план-з'!B41</f>
        <v>Обеспечение безопасности плавания</v>
      </c>
    </row>
    <row r="41" spans="1:26" ht="39" thickBot="1" x14ac:dyDescent="0.25">
      <c r="A41" s="345" t="s">
        <v>452</v>
      </c>
      <c r="B41" s="368" t="str">
        <f>'Учебный план'!B61</f>
        <v xml:space="preserve">Безопасность жизнедеятельности на судне и транспортная безопасность </v>
      </c>
      <c r="C41" s="143">
        <f>'Учебный план'!C61</f>
        <v>0</v>
      </c>
      <c r="D41" s="143">
        <f>'Учебный план'!D61</f>
        <v>0</v>
      </c>
      <c r="E41" s="143">
        <f>'Учебный план'!E61</f>
        <v>0</v>
      </c>
      <c r="F41" s="143" t="str">
        <f>'Учебный план'!F61</f>
        <v>8</v>
      </c>
      <c r="G41" s="143">
        <f>'Учебный план'!G61</f>
        <v>0</v>
      </c>
      <c r="H41" s="143">
        <f>'Учебный план'!H61</f>
        <v>0</v>
      </c>
      <c r="I41" s="186"/>
      <c r="J41" s="185"/>
      <c r="K41" s="366">
        <f>'Учебный план'!K61</f>
        <v>150</v>
      </c>
      <c r="L41" s="173"/>
      <c r="M41" s="173"/>
      <c r="N41" s="173"/>
      <c r="O41" s="173"/>
      <c r="P41" s="173"/>
      <c r="Q41" s="173"/>
      <c r="R41" s="173"/>
      <c r="S41" s="174"/>
      <c r="T41" s="376">
        <f>'Учебный план-з'!M43</f>
        <v>150</v>
      </c>
      <c r="U41" s="260">
        <f>'Учебный план-з'!D43</f>
        <v>0</v>
      </c>
      <c r="V41" s="260">
        <f>'Учебный план-з'!E43</f>
        <v>0</v>
      </c>
      <c r="W41" s="260" t="e">
        <f>'Учебный план-з'!#REF!</f>
        <v>#REF!</v>
      </c>
      <c r="X41" s="260">
        <f>'Учебный план-з'!G43</f>
        <v>0</v>
      </c>
      <c r="Y41" s="260">
        <f>'Учебный план-з'!H43</f>
        <v>0</v>
      </c>
      <c r="Z41" s="381" t="str">
        <f>'Учебный план-з'!B43</f>
        <v xml:space="preserve">Безопасность жизнедеятельности на судне и транспортная безопасность </v>
      </c>
    </row>
    <row r="42" spans="1:26" ht="26.25" thickBot="1" x14ac:dyDescent="0.25">
      <c r="A42" s="345" t="s">
        <v>456</v>
      </c>
      <c r="B42" s="368" t="str">
        <f>'Учебный план'!B62</f>
        <v>Техника безопасности на судах</v>
      </c>
      <c r="C42" s="143">
        <f>'Учебный план'!C62</f>
        <v>0</v>
      </c>
      <c r="D42" s="143">
        <f>'Учебный план'!D62</f>
        <v>0</v>
      </c>
      <c r="E42" s="143" t="str">
        <f>'Учебный план'!E62</f>
        <v>5</v>
      </c>
      <c r="F42" s="143">
        <f>'Учебный план'!F62</f>
        <v>0</v>
      </c>
      <c r="G42" s="143">
        <f>'Учебный план'!G62</f>
        <v>0</v>
      </c>
      <c r="H42" s="143">
        <f>'Учебный план'!H62</f>
        <v>0</v>
      </c>
      <c r="I42" s="186"/>
      <c r="J42" s="185"/>
      <c r="K42" s="366">
        <f>'Учебный план'!K62</f>
        <v>54</v>
      </c>
      <c r="L42" s="360" t="e">
        <f t="shared" ref="L42" si="24">SUM(M42:Q42)</f>
        <v>#REF!</v>
      </c>
      <c r="M42" s="169"/>
      <c r="N42" s="169">
        <f t="shared" ref="N42:O44" si="25">V42+AC42+AK42+AS42+BA42+BI42+BQ42+BY42+CG42+CO42</f>
        <v>2</v>
      </c>
      <c r="O42" s="169" t="e">
        <f t="shared" si="25"/>
        <v>#REF!</v>
      </c>
      <c r="P42" s="170"/>
      <c r="Q42" s="170"/>
      <c r="R42" s="170"/>
      <c r="S42" s="171" t="e">
        <f>#REF!+AH42+AP42+AX42+BF42+BN42+BV42+CD42+CL42+CT42</f>
        <v>#REF!</v>
      </c>
      <c r="T42" s="376">
        <f>'Учебный план-з'!M44</f>
        <v>54</v>
      </c>
      <c r="U42" s="260">
        <f>'Учебный план-з'!D44</f>
        <v>0</v>
      </c>
      <c r="V42" s="260" t="str">
        <f>'Учебный план-з'!E44</f>
        <v>2</v>
      </c>
      <c r="W42" s="260" t="e">
        <f>'Учебный план-з'!#REF!</f>
        <v>#REF!</v>
      </c>
      <c r="X42" s="260">
        <f>'Учебный план-з'!G44</f>
        <v>0</v>
      </c>
      <c r="Y42" s="260">
        <f>'Учебный план-з'!H44</f>
        <v>0</v>
      </c>
      <c r="Z42" s="381" t="str">
        <f>'Учебный план-з'!B44</f>
        <v>Техника безопасности на судах</v>
      </c>
    </row>
    <row r="43" spans="1:26" ht="13.5" hidden="1" thickBot="1" x14ac:dyDescent="0.25">
      <c r="A43" s="345" t="s">
        <v>457</v>
      </c>
      <c r="B43" s="368" t="e">
        <f>'Учебный план'!#REF!</f>
        <v>#REF!</v>
      </c>
      <c r="C43" s="143" t="e">
        <f>'Учебный план'!#REF!</f>
        <v>#REF!</v>
      </c>
      <c r="D43" s="143" t="e">
        <f>'Учебный план'!#REF!</f>
        <v>#REF!</v>
      </c>
      <c r="E43" s="143" t="e">
        <f>'Учебный план'!#REF!</f>
        <v>#REF!</v>
      </c>
      <c r="F43" s="143" t="e">
        <f>'Учебный план'!#REF!</f>
        <v>#REF!</v>
      </c>
      <c r="G43" s="143" t="e">
        <f>'Учебный план'!#REF!</f>
        <v>#REF!</v>
      </c>
      <c r="H43" s="143" t="e">
        <f>'Учебный план'!#REF!</f>
        <v>#REF!</v>
      </c>
      <c r="I43" s="186"/>
      <c r="J43" s="185"/>
      <c r="K43" s="366" t="e">
        <f>'Учебный план'!#REF!</f>
        <v>#REF!</v>
      </c>
      <c r="L43" s="361" t="e">
        <f>SUM(M43:Q43)</f>
        <v>#REF!</v>
      </c>
      <c r="M43" s="162"/>
      <c r="N43" s="163" t="e">
        <f t="shared" si="25"/>
        <v>#REF!</v>
      </c>
      <c r="O43" s="163" t="e">
        <f t="shared" si="25"/>
        <v>#REF!</v>
      </c>
      <c r="P43" s="162"/>
      <c r="Q43" s="162"/>
      <c r="R43" s="162"/>
      <c r="S43" s="167" t="e">
        <f>#REF!+AH43+AP43+AX43+BF43+BN43+BV43+CD43+CL43+CT43</f>
        <v>#REF!</v>
      </c>
      <c r="T43" s="376" t="e">
        <f>'Учебный план-з'!#REF!</f>
        <v>#REF!</v>
      </c>
      <c r="U43" s="260" t="e">
        <f>'Учебный план-з'!#REF!</f>
        <v>#REF!</v>
      </c>
      <c r="V43" s="260" t="e">
        <f>'Учебный план-з'!#REF!</f>
        <v>#REF!</v>
      </c>
      <c r="W43" s="260" t="e">
        <f>'Учебный план-з'!#REF!</f>
        <v>#REF!</v>
      </c>
      <c r="X43" s="260" t="e">
        <f>'Учебный план-з'!#REF!</f>
        <v>#REF!</v>
      </c>
      <c r="Y43" s="260" t="e">
        <f>'Учебный план-з'!#REF!</f>
        <v>#REF!</v>
      </c>
      <c r="Z43" s="381" t="e">
        <f>'Учебный план-з'!#REF!</f>
        <v>#REF!</v>
      </c>
    </row>
    <row r="44" spans="1:26" ht="13.5" hidden="1" thickBot="1" x14ac:dyDescent="0.25">
      <c r="A44" s="345" t="s">
        <v>458</v>
      </c>
      <c r="B44" s="368">
        <f>'Учебный план'!B63</f>
        <v>0</v>
      </c>
      <c r="C44" s="143">
        <f>'Учебный план'!C63</f>
        <v>0</v>
      </c>
      <c r="D44" s="143">
        <f>'Учебный план'!D63</f>
        <v>0</v>
      </c>
      <c r="E44" s="143">
        <f>'Учебный план'!E63</f>
        <v>0</v>
      </c>
      <c r="F44" s="143">
        <f>'Учебный план'!F63</f>
        <v>0</v>
      </c>
      <c r="G44" s="143">
        <f>'Учебный план'!G63</f>
        <v>0</v>
      </c>
      <c r="H44" s="143">
        <f>'Учебный план'!H63</f>
        <v>0</v>
      </c>
      <c r="I44" s="186"/>
      <c r="J44" s="185"/>
      <c r="K44" s="366">
        <f>'Учебный план'!K63</f>
        <v>0</v>
      </c>
      <c r="L44" s="361" t="e">
        <f t="shared" ref="L44" si="26">SUM(M44:Q44)</f>
        <v>#REF!</v>
      </c>
      <c r="M44" s="162"/>
      <c r="N44" s="163" t="e">
        <f t="shared" si="25"/>
        <v>#REF!</v>
      </c>
      <c r="O44" s="163" t="e">
        <f t="shared" si="25"/>
        <v>#REF!</v>
      </c>
      <c r="P44" s="162"/>
      <c r="Q44" s="162"/>
      <c r="R44" s="162"/>
      <c r="S44" s="167" t="e">
        <f>#REF!+AH44+AP44+AX44+BF44+BN44+BV44+CD44+CL44+CT44</f>
        <v>#REF!</v>
      </c>
      <c r="T44" s="376" t="e">
        <f>'Учебный план-з'!#REF!</f>
        <v>#REF!</v>
      </c>
      <c r="U44" s="260" t="e">
        <f>'Учебный план-з'!#REF!</f>
        <v>#REF!</v>
      </c>
      <c r="V44" s="260" t="e">
        <f>'Учебный план-з'!#REF!</f>
        <v>#REF!</v>
      </c>
      <c r="W44" s="260" t="e">
        <f>'Учебный план-з'!#REF!</f>
        <v>#REF!</v>
      </c>
      <c r="X44" s="260" t="e">
        <f>'Учебный план-з'!#REF!</f>
        <v>#REF!</v>
      </c>
      <c r="Y44" s="260" t="e">
        <f>'Учебный план-з'!#REF!</f>
        <v>#REF!</v>
      </c>
      <c r="Z44" s="381" t="e">
        <f>'Учебный план-з'!#REF!</f>
        <v>#REF!</v>
      </c>
    </row>
    <row r="45" spans="1:26" ht="26.25" thickBot="1" x14ac:dyDescent="0.25">
      <c r="A45" s="344" t="s">
        <v>399</v>
      </c>
      <c r="B45" s="989" t="s">
        <v>400</v>
      </c>
      <c r="C45" s="990"/>
      <c r="D45" s="990"/>
      <c r="E45" s="990"/>
      <c r="F45" s="990"/>
      <c r="G45" s="990"/>
      <c r="H45" s="991"/>
      <c r="I45" s="157"/>
      <c r="J45" s="256"/>
      <c r="K45" s="367">
        <f>'Учебный план'!K65</f>
        <v>161</v>
      </c>
      <c r="L45" s="359" t="e">
        <f t="shared" ref="L45:L49" si="27">SUM(M45:Q45)</f>
        <v>#REF!</v>
      </c>
      <c r="M45" s="158">
        <f t="shared" ref="M45:R47" si="28">U45+AB45+AJ45+AR45+AZ45+BH45+BP45+BX45+CF45+CN45</f>
        <v>0</v>
      </c>
      <c r="N45" s="158">
        <f t="shared" si="28"/>
        <v>0</v>
      </c>
      <c r="O45" s="158" t="e">
        <f t="shared" si="28"/>
        <v>#REF!</v>
      </c>
      <c r="P45" s="158">
        <f t="shared" si="28"/>
        <v>0</v>
      </c>
      <c r="Q45" s="158">
        <f t="shared" si="28"/>
        <v>0</v>
      </c>
      <c r="R45" s="158" t="e">
        <f t="shared" si="28"/>
        <v>#VALUE!</v>
      </c>
      <c r="S45" s="159" t="e">
        <f>#REF!+AH45+AP45+AX45+BF45+BN45+BV45+CD45+CL45+CT45</f>
        <v>#REF!</v>
      </c>
      <c r="T45" s="376">
        <f>'Учебный план-з'!M46</f>
        <v>161</v>
      </c>
      <c r="U45" s="265">
        <f>'Учебный план-з'!D46</f>
        <v>0</v>
      </c>
      <c r="V45" s="265">
        <f>'Учебный план-з'!E46</f>
        <v>0</v>
      </c>
      <c r="W45" s="265" t="e">
        <f>'Учебный план-з'!#REF!</f>
        <v>#REF!</v>
      </c>
      <c r="X45" s="265">
        <f>'Учебный план-з'!G46</f>
        <v>0</v>
      </c>
      <c r="Y45" s="265">
        <f>'Учебный план-з'!H46</f>
        <v>0</v>
      </c>
      <c r="Z45" s="382" t="str">
        <f>'Учебный план-з'!B46</f>
        <v xml:space="preserve">Организация работы структурного подразделения </v>
      </c>
    </row>
    <row r="46" spans="1:26" ht="38.25" x14ac:dyDescent="0.2">
      <c r="A46" s="343" t="s">
        <v>453</v>
      </c>
      <c r="B46" s="368" t="str">
        <f>'Учебный план'!B67</f>
        <v>Планирование и руководство работы структурного подразделения</v>
      </c>
      <c r="C46" s="143">
        <f>'Учебный план'!C67</f>
        <v>0</v>
      </c>
      <c r="D46" s="143">
        <f>'Учебный план'!D67</f>
        <v>0</v>
      </c>
      <c r="E46" s="143" t="str">
        <f>'Учебный план'!E67</f>
        <v>5</v>
      </c>
      <c r="F46" s="143">
        <f>'Учебный план'!F67</f>
        <v>0</v>
      </c>
      <c r="G46" s="143">
        <f>'Учебный план'!G67</f>
        <v>0</v>
      </c>
      <c r="H46" s="143">
        <f>'Учебный план'!H67</f>
        <v>0</v>
      </c>
      <c r="I46" s="136"/>
      <c r="J46" s="140"/>
      <c r="K46" s="366">
        <f>'Учебный план'!K67</f>
        <v>54</v>
      </c>
      <c r="L46" s="355" t="e">
        <f t="shared" ref="L46:L47" si="29">SUM(M46:Q46)</f>
        <v>#REF!</v>
      </c>
      <c r="M46" s="138">
        <f t="shared" si="28"/>
        <v>0</v>
      </c>
      <c r="N46" s="138">
        <f t="shared" si="28"/>
        <v>3</v>
      </c>
      <c r="O46" s="138" t="e">
        <f t="shared" si="28"/>
        <v>#REF!</v>
      </c>
      <c r="P46" s="138">
        <f t="shared" si="28"/>
        <v>0</v>
      </c>
      <c r="Q46" s="138">
        <f t="shared" si="28"/>
        <v>0</v>
      </c>
      <c r="R46" s="138" t="e">
        <f t="shared" si="28"/>
        <v>#VALUE!</v>
      </c>
      <c r="S46" s="168" t="e">
        <f>#REF!+AH46+AP46+AX46+BF46+BN46+BV46+CD46+CL46+CT46</f>
        <v>#REF!</v>
      </c>
      <c r="T46" s="376">
        <f>'Учебный план-з'!M48</f>
        <v>54</v>
      </c>
      <c r="U46" s="260">
        <f>'Учебный план-з'!D48</f>
        <v>0</v>
      </c>
      <c r="V46" s="260" t="str">
        <f>'Учебный план-з'!E48</f>
        <v>3</v>
      </c>
      <c r="W46" s="260" t="e">
        <f>'Учебный план-з'!#REF!</f>
        <v>#REF!</v>
      </c>
      <c r="X46" s="260">
        <f>'Учебный план-з'!G48</f>
        <v>0</v>
      </c>
      <c r="Y46" s="260">
        <f>'Учебный план-з'!H48</f>
        <v>0</v>
      </c>
      <c r="Z46" s="377" t="str">
        <f>'Учебный план-з'!B48</f>
        <v>Планирование и руководство работы структурного подразделения</v>
      </c>
    </row>
    <row r="47" spans="1:26" ht="26.25" thickBot="1" x14ac:dyDescent="0.25">
      <c r="A47" s="343" t="s">
        <v>454</v>
      </c>
      <c r="B47" s="368" t="str">
        <f>'Учебный план'!B68</f>
        <v>Анализ деятельности структурного подразделения</v>
      </c>
      <c r="C47" s="143">
        <f>'Учебный план'!C68</f>
        <v>0</v>
      </c>
      <c r="D47" s="143">
        <f>'Учебный план'!D68</f>
        <v>0</v>
      </c>
      <c r="E47" s="143" t="str">
        <f>'Учебный план'!E68</f>
        <v>8</v>
      </c>
      <c r="F47" s="143">
        <f>'Учебный план'!F68</f>
        <v>0</v>
      </c>
      <c r="G47" s="143" t="str">
        <f>'Учебный план'!G68</f>
        <v>8</v>
      </c>
      <c r="H47" s="143">
        <f>'Учебный план'!H68</f>
        <v>0</v>
      </c>
      <c r="I47" s="136"/>
      <c r="J47" s="140"/>
      <c r="K47" s="366">
        <f>'Учебный план'!K68</f>
        <v>107</v>
      </c>
      <c r="L47" s="355" t="e">
        <f t="shared" si="29"/>
        <v>#REF!</v>
      </c>
      <c r="M47" s="138">
        <f t="shared" si="28"/>
        <v>0</v>
      </c>
      <c r="N47" s="138">
        <f t="shared" si="28"/>
        <v>4</v>
      </c>
      <c r="O47" s="138" t="e">
        <f t="shared" si="28"/>
        <v>#REF!</v>
      </c>
      <c r="P47" s="138">
        <f t="shared" si="28"/>
        <v>4</v>
      </c>
      <c r="Q47" s="138">
        <f t="shared" si="28"/>
        <v>0</v>
      </c>
      <c r="R47" s="138" t="e">
        <f t="shared" si="28"/>
        <v>#VALUE!</v>
      </c>
      <c r="S47" s="168" t="e">
        <f>#REF!+AH47+AP47+AX47+BF47+BN47+BV47+CD47+CL47+CT47</f>
        <v>#REF!</v>
      </c>
      <c r="T47" s="376">
        <f>'Учебный план-з'!M49</f>
        <v>107</v>
      </c>
      <c r="U47" s="260">
        <f>'Учебный план-з'!D49</f>
        <v>0</v>
      </c>
      <c r="V47" s="260" t="str">
        <f>'Учебный план-з'!E49</f>
        <v>4</v>
      </c>
      <c r="W47" s="260" t="e">
        <f>'Учебный план-з'!#REF!</f>
        <v>#REF!</v>
      </c>
      <c r="X47" s="260" t="str">
        <f>'Учебный план-з'!G49</f>
        <v>4</v>
      </c>
      <c r="Y47" s="260">
        <f>'Учебный план-з'!H49</f>
        <v>0</v>
      </c>
      <c r="Z47" s="377" t="str">
        <f>'Учебный план-з'!B49</f>
        <v>Анализ деятельности структурного подразделения</v>
      </c>
    </row>
    <row r="48" spans="1:26" ht="38.25" x14ac:dyDescent="0.2">
      <c r="A48" s="346" t="s">
        <v>194</v>
      </c>
      <c r="B48" s="992" t="s">
        <v>195</v>
      </c>
      <c r="C48" s="993"/>
      <c r="D48" s="993"/>
      <c r="E48" s="993"/>
      <c r="F48" s="993"/>
      <c r="G48" s="993"/>
      <c r="H48" s="994"/>
      <c r="I48" s="250"/>
      <c r="J48" s="257" t="e">
        <f>SUM(#REF!)</f>
        <v>#REF!</v>
      </c>
      <c r="K48" s="367">
        <f>'Учебный план'!K70</f>
        <v>105</v>
      </c>
      <c r="L48" s="362" t="e">
        <f t="shared" si="27"/>
        <v>#REF!</v>
      </c>
      <c r="M48" s="251">
        <f t="shared" ref="M48:R49" si="30">U48+AB48+AJ48+AR48+AZ48+BH48+BP48+BX48+CF48+CN48</f>
        <v>0</v>
      </c>
      <c r="N48" s="251">
        <f t="shared" si="30"/>
        <v>0</v>
      </c>
      <c r="O48" s="251" t="e">
        <f t="shared" si="30"/>
        <v>#REF!</v>
      </c>
      <c r="P48" s="251">
        <f t="shared" si="30"/>
        <v>0</v>
      </c>
      <c r="Q48" s="251">
        <f t="shared" si="30"/>
        <v>0</v>
      </c>
      <c r="R48" s="251" t="e">
        <f t="shared" si="30"/>
        <v>#VALUE!</v>
      </c>
      <c r="S48" s="252" t="e">
        <f>#REF!+AH48+AP48+AX48+BF48+BN48+BV48+CD48+CL48+CT48</f>
        <v>#REF!</v>
      </c>
      <c r="T48" s="376">
        <f>'Учебный план-з'!M51</f>
        <v>105</v>
      </c>
      <c r="U48" s="265">
        <f>'Учебный план-з'!D51</f>
        <v>0</v>
      </c>
      <c r="V48" s="265">
        <f>'Учебный план-з'!E51</f>
        <v>0</v>
      </c>
      <c r="W48" s="265" t="e">
        <f>'Учебный план-з'!#REF!</f>
        <v>#REF!</v>
      </c>
      <c r="X48" s="265">
        <f>'Учебный план-з'!G51</f>
        <v>0</v>
      </c>
      <c r="Y48" s="265">
        <f>'Учебный план-з'!H51</f>
        <v>0</v>
      </c>
      <c r="Z48" s="382" t="str">
        <f>'Учебный план-з'!B51</f>
        <v>Выполнение работ по одной или нескольким профессиям рабочих, должностям служащих</v>
      </c>
    </row>
    <row r="49" spans="1:26" ht="13.5" thickBot="1" x14ac:dyDescent="0.25">
      <c r="A49" s="347" t="s">
        <v>455</v>
      </c>
      <c r="B49" s="368" t="str">
        <f>'Учебный план'!B71</f>
        <v>Моторист (машинист)</v>
      </c>
      <c r="C49" s="143">
        <f>'Учебный план'!C71</f>
        <v>0</v>
      </c>
      <c r="D49" s="143">
        <f>'Учебный план'!D71</f>
        <v>0</v>
      </c>
      <c r="E49" s="143" t="str">
        <f>'Учебный план'!E71</f>
        <v>4</v>
      </c>
      <c r="F49" s="143">
        <f>'Учебный план'!F71</f>
        <v>0</v>
      </c>
      <c r="G49" s="143">
        <f>'Учебный план'!G71</f>
        <v>0</v>
      </c>
      <c r="H49" s="143">
        <f>'Учебный план'!H71</f>
        <v>0</v>
      </c>
      <c r="I49" s="139"/>
      <c r="J49" s="165"/>
      <c r="K49" s="366">
        <f>'Учебный план'!K71</f>
        <v>105</v>
      </c>
      <c r="L49" s="355" t="e">
        <f t="shared" si="27"/>
        <v>#REF!</v>
      </c>
      <c r="M49" s="138">
        <f t="shared" si="30"/>
        <v>0</v>
      </c>
      <c r="N49" s="138">
        <f t="shared" si="30"/>
        <v>2</v>
      </c>
      <c r="O49" s="138" t="e">
        <f t="shared" si="30"/>
        <v>#REF!</v>
      </c>
      <c r="P49" s="138">
        <f t="shared" si="30"/>
        <v>0</v>
      </c>
      <c r="Q49" s="138">
        <f t="shared" si="30"/>
        <v>0</v>
      </c>
      <c r="R49" s="138" t="e">
        <f t="shared" si="30"/>
        <v>#VALUE!</v>
      </c>
      <c r="S49" s="168" t="e">
        <f>#REF!+AH49+AP49+AX49+BF49+BN49+BV49+CD49+CL49+CT49</f>
        <v>#REF!</v>
      </c>
      <c r="T49" s="376">
        <f>'Учебный план-з'!M52</f>
        <v>105</v>
      </c>
      <c r="U49" s="260">
        <f>'Учебный план-з'!D52</f>
        <v>0</v>
      </c>
      <c r="V49" s="260" t="str">
        <f>'Учебный план-з'!E52</f>
        <v>2</v>
      </c>
      <c r="W49" s="260" t="e">
        <f>'Учебный план-з'!#REF!</f>
        <v>#REF!</v>
      </c>
      <c r="X49" s="260">
        <f>'Учебный план-з'!G52</f>
        <v>0</v>
      </c>
      <c r="Y49" s="260">
        <f>'Учебный план-з'!H52</f>
        <v>0</v>
      </c>
      <c r="Z49" s="377" t="str">
        <f>'Учебный план-з'!B52</f>
        <v>Моторист (машинист)</v>
      </c>
    </row>
    <row r="50" spans="1:26" ht="13.5" hidden="1" thickBot="1" x14ac:dyDescent="0.25">
      <c r="A50" s="347"/>
      <c r="B50" s="368">
        <f>'Учебный план'!B72</f>
        <v>0</v>
      </c>
      <c r="C50" s="143">
        <f>'Учебный план'!C72</f>
        <v>0</v>
      </c>
      <c r="D50" s="143">
        <f>'Учебный план'!D72</f>
        <v>0</v>
      </c>
      <c r="E50" s="143">
        <f>'Учебный план'!E72</f>
        <v>0</v>
      </c>
      <c r="F50" s="143">
        <f>'Учебный план'!F72</f>
        <v>0</v>
      </c>
      <c r="G50" s="143">
        <f>'Учебный план'!G72</f>
        <v>0</v>
      </c>
      <c r="H50" s="143">
        <f>'Учебный план'!H72</f>
        <v>0</v>
      </c>
      <c r="I50" s="139"/>
      <c r="J50" s="165"/>
      <c r="K50" s="366">
        <f>'Учебный план'!K72</f>
        <v>0</v>
      </c>
      <c r="L50" s="355"/>
      <c r="M50" s="138"/>
      <c r="N50" s="138"/>
      <c r="O50" s="138"/>
      <c r="P50" s="138"/>
      <c r="Q50" s="138"/>
      <c r="R50" s="138"/>
      <c r="S50" s="168"/>
      <c r="T50" s="376" t="e">
        <f>'Учебный план-з'!#REF!</f>
        <v>#REF!</v>
      </c>
      <c r="U50" s="260" t="e">
        <f>'Учебный план-з'!#REF!</f>
        <v>#REF!</v>
      </c>
      <c r="V50" s="260" t="e">
        <f>'Учебный план-з'!#REF!</f>
        <v>#REF!</v>
      </c>
      <c r="W50" s="260" t="e">
        <f>'Учебный план-з'!#REF!</f>
        <v>#REF!</v>
      </c>
      <c r="X50" s="260" t="e">
        <f>'Учебный план-з'!#REF!</f>
        <v>#REF!</v>
      </c>
      <c r="Y50" s="260" t="e">
        <f>'Учебный план-з'!#REF!</f>
        <v>#REF!</v>
      </c>
      <c r="Z50" s="377" t="e">
        <f>'Учебный план-з'!#REF!</f>
        <v>#REF!</v>
      </c>
    </row>
    <row r="51" spans="1:26" ht="13.5" thickBot="1" x14ac:dyDescent="0.25">
      <c r="A51" s="334"/>
      <c r="B51" s="369" t="s">
        <v>409</v>
      </c>
      <c r="C51" s="276"/>
      <c r="D51" s="277" t="s">
        <v>26</v>
      </c>
      <c r="E51" s="277"/>
      <c r="F51" s="277"/>
      <c r="G51" s="277"/>
      <c r="H51" s="277"/>
      <c r="I51" s="278">
        <v>1242</v>
      </c>
      <c r="J51" s="279">
        <v>828</v>
      </c>
      <c r="K51" s="367">
        <f>'Учебный план'!K74</f>
        <v>354</v>
      </c>
      <c r="L51" s="280" t="e">
        <f t="shared" ref="L51:S51" si="31">SUM(L52:L56)</f>
        <v>#REF!</v>
      </c>
      <c r="M51" s="280">
        <f t="shared" si="31"/>
        <v>0</v>
      </c>
      <c r="N51" s="280">
        <f t="shared" si="31"/>
        <v>14</v>
      </c>
      <c r="O51" s="280" t="e">
        <f t="shared" si="31"/>
        <v>#REF!</v>
      </c>
      <c r="P51" s="280">
        <f t="shared" si="31"/>
        <v>0</v>
      </c>
      <c r="Q51" s="280">
        <f t="shared" si="31"/>
        <v>0</v>
      </c>
      <c r="R51" s="280" t="e">
        <f t="shared" si="31"/>
        <v>#VALUE!</v>
      </c>
      <c r="S51" s="279" t="e">
        <f t="shared" si="31"/>
        <v>#REF!</v>
      </c>
      <c r="T51" s="376">
        <f>'Учебный план-з'!M54</f>
        <v>304</v>
      </c>
      <c r="U51" s="265">
        <f>'Учебный план-з'!D54</f>
        <v>0</v>
      </c>
      <c r="V51" s="265">
        <f>'Учебный план-з'!E54</f>
        <v>0</v>
      </c>
      <c r="W51" s="265" t="e">
        <f>'Учебный план-з'!#REF!</f>
        <v>#REF!</v>
      </c>
      <c r="X51" s="265">
        <f>'Учебный план-з'!G54</f>
        <v>0</v>
      </c>
      <c r="Y51" s="265">
        <f>'Учебный план-з'!H54</f>
        <v>0</v>
      </c>
      <c r="Z51" s="379" t="str">
        <f>'Учебный план-з'!B54</f>
        <v>Вариативная часть циклов ППССЗ</v>
      </c>
    </row>
    <row r="52" spans="1:26" x14ac:dyDescent="0.2">
      <c r="A52" s="348" t="s">
        <v>205</v>
      </c>
      <c r="B52" s="368" t="str">
        <f>'Учебный план'!B75</f>
        <v>Деловой английский язык</v>
      </c>
      <c r="C52" s="143">
        <f>'Учебный план'!C75</f>
        <v>0</v>
      </c>
      <c r="D52" s="143">
        <f>'Учебный план'!D75</f>
        <v>0</v>
      </c>
      <c r="E52" s="143" t="str">
        <f>'Учебный план'!E75</f>
        <v>8</v>
      </c>
      <c r="F52" s="143">
        <f>'Учебный план'!F75</f>
        <v>0</v>
      </c>
      <c r="G52" s="143">
        <f>'Учебный план'!G75</f>
        <v>0</v>
      </c>
      <c r="H52" s="143">
        <f>'Учебный план'!H75</f>
        <v>0</v>
      </c>
      <c r="I52" s="178"/>
      <c r="J52" s="180"/>
      <c r="K52" s="366">
        <f>'Учебный план'!K75</f>
        <v>57</v>
      </c>
      <c r="L52" s="363" t="e">
        <f>SUM(M52:Q52)</f>
        <v>#REF!</v>
      </c>
      <c r="M52" s="179">
        <f t="shared" ref="M52" si="32">U52+AB52+AJ52+AR52+AZ52+BH52+BP52+BX52+CF52+CN52</f>
        <v>0</v>
      </c>
      <c r="N52" s="179">
        <f t="shared" ref="N52" si="33">V52+AC52+AK52+AS52+BA52+BI52+BQ52+BY52+CG52+CO52</f>
        <v>3</v>
      </c>
      <c r="O52" s="179" t="e">
        <f t="shared" ref="O52" si="34">W52+AD52+AL52+AT52+BB52+BJ52+BR52+BZ52+CH52+CP52</f>
        <v>#REF!</v>
      </c>
      <c r="P52" s="179">
        <f t="shared" ref="P52" si="35">X52+AE52+AM52+AU52+BC52+BK52+BS52+CA52+CI52+CQ52</f>
        <v>0</v>
      </c>
      <c r="Q52" s="179">
        <f t="shared" ref="Q52" si="36">Y52+AF52+AN52+AV52+BD52+BL52+BT52+CB52+CJ52+CR52</f>
        <v>0</v>
      </c>
      <c r="R52" s="179" t="e">
        <f t="shared" ref="R52" si="37">Z52+AG52+AO52+AW52+BE52+BM52+BU52+CC52+CK52+CS52</f>
        <v>#VALUE!</v>
      </c>
      <c r="S52" s="184" t="e">
        <f>#REF!+AH52+AP52+AX52+BF52+BN52+BV52+CD52+CL52+CT52</f>
        <v>#REF!</v>
      </c>
      <c r="T52" s="376">
        <f>'Учебный план-з'!M55</f>
        <v>57</v>
      </c>
      <c r="U52" s="260">
        <f>'Учебный план-з'!D55</f>
        <v>0</v>
      </c>
      <c r="V52" s="260" t="str">
        <f>'Учебный план-з'!E55</f>
        <v>3</v>
      </c>
      <c r="W52" s="260" t="e">
        <f>'Учебный план-з'!#REF!</f>
        <v>#REF!</v>
      </c>
      <c r="X52" s="260">
        <f>'Учебный план-з'!G55</f>
        <v>0</v>
      </c>
      <c r="Y52" s="260">
        <f>'Учебный план-з'!H55</f>
        <v>0</v>
      </c>
      <c r="Z52" s="377" t="str">
        <f>'Учебный план-з'!B55</f>
        <v>Деловой английский язык</v>
      </c>
    </row>
    <row r="53" spans="1:26" x14ac:dyDescent="0.2">
      <c r="A53" s="348"/>
      <c r="B53" s="368" t="str">
        <f>'Учебный план'!B76</f>
        <v>Компьютерная графика</v>
      </c>
      <c r="C53" s="143">
        <f>'Учебный план'!C76</f>
        <v>0</v>
      </c>
      <c r="D53" s="143">
        <f>'Учебный план'!D76</f>
        <v>0</v>
      </c>
      <c r="E53" s="143" t="str">
        <f>'Учебный план'!E76</f>
        <v>8</v>
      </c>
      <c r="F53" s="143">
        <f>'Учебный план'!F76</f>
        <v>0</v>
      </c>
      <c r="G53" s="143">
        <f>'Учебный план'!G76</f>
        <v>0</v>
      </c>
      <c r="H53" s="143">
        <f>'Учебный план'!H76</f>
        <v>0</v>
      </c>
      <c r="I53" s="178"/>
      <c r="J53" s="180"/>
      <c r="K53" s="366">
        <f>'Учебный план'!K76</f>
        <v>57</v>
      </c>
      <c r="L53" s="363" t="e">
        <f t="shared" ref="L53:L56" si="38">SUM(M53:Q53)</f>
        <v>#REF!</v>
      </c>
      <c r="M53" s="179">
        <f t="shared" ref="M53:M56" si="39">U53+AB53+AJ53+AR53+AZ53+BH53+BP53+BX53+CF53+CN53</f>
        <v>0</v>
      </c>
      <c r="N53" s="179">
        <f t="shared" ref="N53:N56" si="40">V53+AC53+AK53+AS53+BA53+BI53+BQ53+BY53+CG53+CO53</f>
        <v>4</v>
      </c>
      <c r="O53" s="179" t="e">
        <f t="shared" ref="O53:O56" si="41">W53+AD53+AL53+AT53+BB53+BJ53+BR53+BZ53+CH53+CP53</f>
        <v>#REF!</v>
      </c>
      <c r="P53" s="179">
        <f t="shared" ref="P53:P56" si="42">X53+AE53+AM53+AU53+BC53+BK53+BS53+CA53+CI53+CQ53</f>
        <v>0</v>
      </c>
      <c r="Q53" s="179">
        <f t="shared" ref="Q53:Q56" si="43">Y53+AF53+AN53+AV53+BD53+BL53+BT53+CB53+CJ53+CR53</f>
        <v>0</v>
      </c>
      <c r="R53" s="179" t="e">
        <f t="shared" ref="R53:R56" si="44">Z53+AG53+AO53+AW53+BE53+BM53+BU53+CC53+CK53+CS53</f>
        <v>#VALUE!</v>
      </c>
      <c r="S53" s="184" t="e">
        <f>#REF!+AH53+AP53+AX53+BF53+BN53+BV53+CD53+CL53+CT53</f>
        <v>#REF!</v>
      </c>
      <c r="T53" s="376">
        <f>'Учебный план-з'!M56</f>
        <v>57</v>
      </c>
      <c r="U53" s="260">
        <f>'Учебный план-з'!D56</f>
        <v>0</v>
      </c>
      <c r="V53" s="260" t="str">
        <f>'Учебный план-з'!E56</f>
        <v>4</v>
      </c>
      <c r="W53" s="260" t="e">
        <f>'Учебный план-з'!#REF!</f>
        <v>#REF!</v>
      </c>
      <c r="X53" s="260">
        <f>'Учебный план-з'!G56</f>
        <v>0</v>
      </c>
      <c r="Y53" s="260">
        <f>'Учебный план-з'!H56</f>
        <v>0</v>
      </c>
      <c r="Z53" s="377" t="str">
        <f>'Учебный план-з'!B56</f>
        <v>Компьютерная графика</v>
      </c>
    </row>
    <row r="54" spans="1:26" x14ac:dyDescent="0.2">
      <c r="A54" s="348"/>
      <c r="B54" s="368" t="str">
        <f>'Учебный план'!B77</f>
        <v>Охрана труда</v>
      </c>
      <c r="C54" s="143">
        <f>'Учебный план'!C77</f>
        <v>0</v>
      </c>
      <c r="D54" s="143">
        <f>'Учебный план'!D77</f>
        <v>0</v>
      </c>
      <c r="E54" s="143">
        <f>'Учебный план'!E77</f>
        <v>5</v>
      </c>
      <c r="F54" s="143">
        <f>'Учебный план'!F77</f>
        <v>0</v>
      </c>
      <c r="G54" s="143">
        <f>'Учебный план'!G77</f>
        <v>0</v>
      </c>
      <c r="H54" s="143">
        <f>'Учебный план'!H77</f>
        <v>0</v>
      </c>
      <c r="I54" s="178"/>
      <c r="J54" s="180"/>
      <c r="K54" s="366">
        <f>'Учебный план'!K77</f>
        <v>54</v>
      </c>
      <c r="L54" s="363" t="e">
        <f t="shared" si="38"/>
        <v>#REF!</v>
      </c>
      <c r="M54" s="179">
        <f t="shared" si="39"/>
        <v>0</v>
      </c>
      <c r="N54" s="179">
        <f t="shared" si="40"/>
        <v>3</v>
      </c>
      <c r="O54" s="179" t="e">
        <f t="shared" si="41"/>
        <v>#REF!</v>
      </c>
      <c r="P54" s="179">
        <f t="shared" si="42"/>
        <v>0</v>
      </c>
      <c r="Q54" s="179">
        <f t="shared" si="43"/>
        <v>0</v>
      </c>
      <c r="R54" s="179" t="e">
        <f t="shared" si="44"/>
        <v>#VALUE!</v>
      </c>
      <c r="S54" s="184" t="e">
        <f>#REF!+AH54+AP54+AX54+BF54+BN54+BV54+CD54+CL54+CT54</f>
        <v>#REF!</v>
      </c>
      <c r="T54" s="376">
        <f>'Учебный план-з'!M57</f>
        <v>54</v>
      </c>
      <c r="U54" s="260">
        <f>'Учебный план-з'!D57</f>
        <v>0</v>
      </c>
      <c r="V54" s="260" t="str">
        <f>'Учебный план-з'!E57</f>
        <v>3</v>
      </c>
      <c r="W54" s="260" t="e">
        <f>'Учебный план-з'!#REF!</f>
        <v>#REF!</v>
      </c>
      <c r="X54" s="260">
        <f>'Учебный план-з'!G57</f>
        <v>0</v>
      </c>
      <c r="Y54" s="260">
        <f>'Учебный план-з'!H57</f>
        <v>0</v>
      </c>
      <c r="Z54" s="377" t="str">
        <f>'Учебный план-з'!B57</f>
        <v>Охрана труда</v>
      </c>
    </row>
    <row r="55" spans="1:26" ht="25.5" x14ac:dyDescent="0.2">
      <c r="A55" s="348"/>
      <c r="B55" s="368" t="str">
        <f>'Учебный план'!B78</f>
        <v>Эксплуатация судна на вспомогательном уровне</v>
      </c>
      <c r="C55" s="143">
        <f>'Учебный план'!C78</f>
        <v>0</v>
      </c>
      <c r="D55" s="143">
        <f>'Учебный план'!D78</f>
        <v>0</v>
      </c>
      <c r="E55" s="143" t="str">
        <f>'Учебный план'!E78</f>
        <v>4</v>
      </c>
      <c r="F55" s="143">
        <f>'Учебный план'!F78</f>
        <v>0</v>
      </c>
      <c r="G55" s="143">
        <f>'Учебный план'!G78</f>
        <v>0</v>
      </c>
      <c r="H55" s="143">
        <f>'Учебный план'!H78</f>
        <v>0</v>
      </c>
      <c r="I55" s="178"/>
      <c r="J55" s="180"/>
      <c r="K55" s="366">
        <f>'Учебный план'!K78</f>
        <v>136</v>
      </c>
      <c r="L55" s="363" t="e">
        <f t="shared" si="38"/>
        <v>#REF!</v>
      </c>
      <c r="M55" s="179">
        <f t="shared" si="39"/>
        <v>0</v>
      </c>
      <c r="N55" s="179">
        <f t="shared" si="40"/>
        <v>3</v>
      </c>
      <c r="O55" s="179" t="e">
        <f t="shared" si="41"/>
        <v>#REF!</v>
      </c>
      <c r="P55" s="179">
        <f t="shared" si="42"/>
        <v>0</v>
      </c>
      <c r="Q55" s="179">
        <f t="shared" si="43"/>
        <v>0</v>
      </c>
      <c r="R55" s="179" t="e">
        <f t="shared" si="44"/>
        <v>#VALUE!</v>
      </c>
      <c r="S55" s="184" t="e">
        <f>#REF!+AH55+AP55+AX55+BF55+BN55+BV55+CD55+CL55+CT55</f>
        <v>#REF!</v>
      </c>
      <c r="T55" s="376">
        <f>'Учебный план-з'!M58</f>
        <v>136</v>
      </c>
      <c r="U55" s="260">
        <f>'Учебный план-з'!D58</f>
        <v>0</v>
      </c>
      <c r="V55" s="260" t="str">
        <f>'Учебный план-з'!E58</f>
        <v>3</v>
      </c>
      <c r="W55" s="260" t="e">
        <f>'Учебный план-з'!#REF!</f>
        <v>#REF!</v>
      </c>
      <c r="X55" s="260">
        <f>'Учебный план-з'!G58</f>
        <v>0</v>
      </c>
      <c r="Y55" s="260">
        <f>'Учебный план-з'!H58</f>
        <v>0</v>
      </c>
      <c r="Z55" s="377" t="str">
        <f>'Учебный план-з'!B58</f>
        <v>Эксплуатация судна на вспомогательном уровне</v>
      </c>
    </row>
    <row r="56" spans="1:26" ht="13.5" thickBot="1" x14ac:dyDescent="0.25">
      <c r="A56" s="348"/>
      <c r="B56" s="368" t="str">
        <f>'Учебный план'!B79</f>
        <v>Гидравлика</v>
      </c>
      <c r="C56" s="143">
        <f>'Учебный план'!C79</f>
        <v>0</v>
      </c>
      <c r="D56" s="143">
        <f>'Учебный план'!D79</f>
        <v>0</v>
      </c>
      <c r="E56" s="143" t="str">
        <f>'Учебный план'!E79</f>
        <v>3</v>
      </c>
      <c r="F56" s="143">
        <f>'Учебный план'!F79</f>
        <v>0</v>
      </c>
      <c r="G56" s="143">
        <f>'Учебный план'!G79</f>
        <v>0</v>
      </c>
      <c r="H56" s="143">
        <f>'Учебный план'!H79</f>
        <v>0</v>
      </c>
      <c r="I56" s="178"/>
      <c r="J56" s="180"/>
      <c r="K56" s="366">
        <f>'Учебный план'!K79</f>
        <v>50</v>
      </c>
      <c r="L56" s="363" t="e">
        <f t="shared" si="38"/>
        <v>#REF!</v>
      </c>
      <c r="M56" s="179">
        <f t="shared" si="39"/>
        <v>0</v>
      </c>
      <c r="N56" s="179">
        <f t="shared" si="40"/>
        <v>1</v>
      </c>
      <c r="O56" s="179" t="e">
        <f t="shared" si="41"/>
        <v>#REF!</v>
      </c>
      <c r="P56" s="179">
        <f t="shared" si="42"/>
        <v>0</v>
      </c>
      <c r="Q56" s="179">
        <f t="shared" si="43"/>
        <v>0</v>
      </c>
      <c r="R56" s="179" t="e">
        <f t="shared" si="44"/>
        <v>#VALUE!</v>
      </c>
      <c r="S56" s="184" t="e">
        <f>#REF!+AH56+AP56+AX56+BF56+BN56+BV56+CD56+CL56+CT56</f>
        <v>#REF!</v>
      </c>
      <c r="T56" s="376">
        <f>'Учебный план-з'!M59</f>
        <v>50</v>
      </c>
      <c r="U56" s="260">
        <f>'Учебный план-з'!D59</f>
        <v>0</v>
      </c>
      <c r="V56" s="260" t="str">
        <f>'Учебный план-з'!E59</f>
        <v>1</v>
      </c>
      <c r="W56" s="260" t="e">
        <f>'Учебный план-з'!#REF!</f>
        <v>#REF!</v>
      </c>
      <c r="X56" s="260">
        <f>'Учебный план-з'!G59</f>
        <v>0</v>
      </c>
      <c r="Y56" s="260">
        <f>'Учебный план-з'!H59</f>
        <v>0</v>
      </c>
      <c r="Z56" s="377" t="str">
        <f>'Учебный план-з'!B59</f>
        <v>Гидравлика</v>
      </c>
    </row>
    <row r="57" spans="1:26" ht="13.5" thickBot="1" x14ac:dyDescent="0.25">
      <c r="A57" s="334" t="s">
        <v>197</v>
      </c>
      <c r="B57" s="982" t="s">
        <v>6</v>
      </c>
      <c r="C57" s="983"/>
      <c r="D57" s="277"/>
      <c r="E57" s="277"/>
      <c r="F57" s="277"/>
      <c r="G57" s="277"/>
      <c r="H57" s="277"/>
      <c r="I57" s="278"/>
      <c r="J57" s="279"/>
      <c r="K57" s="367">
        <f>'Учебный план'!K80</f>
        <v>396</v>
      </c>
      <c r="L57" s="280" t="e">
        <f t="shared" ref="L57:S57" si="45">SUM(L58:L61)</f>
        <v>#REF!</v>
      </c>
      <c r="M57" s="280" t="e">
        <f t="shared" si="45"/>
        <v>#REF!</v>
      </c>
      <c r="N57" s="280" t="e">
        <f t="shared" si="45"/>
        <v>#REF!</v>
      </c>
      <c r="O57" s="280" t="e">
        <f t="shared" si="45"/>
        <v>#REF!</v>
      </c>
      <c r="P57" s="280" t="e">
        <f t="shared" si="45"/>
        <v>#REF!</v>
      </c>
      <c r="Q57" s="280" t="e">
        <f t="shared" si="45"/>
        <v>#REF!</v>
      </c>
      <c r="R57" s="280" t="e">
        <f t="shared" si="45"/>
        <v>#REF!</v>
      </c>
      <c r="S57" s="279" t="e">
        <f t="shared" si="45"/>
        <v>#REF!</v>
      </c>
      <c r="T57" s="376">
        <f>'Учебный план-з'!M60</f>
        <v>396</v>
      </c>
      <c r="U57" s="265">
        <f>'Учебный план-з'!D60</f>
        <v>0</v>
      </c>
      <c r="V57" s="265" t="str">
        <f>'Учебный план-з'!E60</f>
        <v>1</v>
      </c>
      <c r="W57" s="265" t="e">
        <f>'Учебный план-з'!#REF!</f>
        <v>#REF!</v>
      </c>
      <c r="X57" s="265">
        <f>'Учебный план-з'!G60</f>
        <v>0</v>
      </c>
      <c r="Y57" s="265">
        <f>'Учебный план-з'!H60</f>
        <v>0</v>
      </c>
      <c r="Z57" s="379" t="str">
        <f>'Учебный план-з'!B60</f>
        <v>Учебная практика</v>
      </c>
    </row>
    <row r="58" spans="1:26" x14ac:dyDescent="0.2">
      <c r="A58" s="349" t="s">
        <v>198</v>
      </c>
      <c r="B58" s="368" t="str">
        <f>'Учебный план'!B81</f>
        <v>Слесарная</v>
      </c>
      <c r="C58" s="143">
        <f>'Учебный план'!C81</f>
        <v>0</v>
      </c>
      <c r="D58" s="143">
        <f>'Учебный план'!D81</f>
        <v>0</v>
      </c>
      <c r="E58" s="143" t="str">
        <f>'Учебный план'!E81</f>
        <v>5</v>
      </c>
      <c r="F58" s="143">
        <f>'Учебный план'!F81</f>
        <v>0</v>
      </c>
      <c r="G58" s="143">
        <f>'Учебный план'!G81</f>
        <v>0</v>
      </c>
      <c r="H58" s="143">
        <f>'Учебный план'!H81</f>
        <v>0</v>
      </c>
      <c r="I58" s="187"/>
      <c r="J58" s="180"/>
      <c r="K58" s="366">
        <f>'Учебный план'!K81</f>
        <v>98</v>
      </c>
      <c r="L58" s="363" t="e">
        <f>SUM(M58:Q58)</f>
        <v>#REF!</v>
      </c>
      <c r="M58" s="179" t="e">
        <f t="shared" ref="M58:R58" si="46">U58+AB58+AJ58+AR58+AZ58+BH58+BP58+BX58+CF58+CN58</f>
        <v>#REF!</v>
      </c>
      <c r="N58" s="179" t="e">
        <f t="shared" si="46"/>
        <v>#REF!</v>
      </c>
      <c r="O58" s="179" t="e">
        <f t="shared" si="46"/>
        <v>#REF!</v>
      </c>
      <c r="P58" s="179" t="e">
        <f t="shared" si="46"/>
        <v>#REF!</v>
      </c>
      <c r="Q58" s="179" t="e">
        <f t="shared" si="46"/>
        <v>#REF!</v>
      </c>
      <c r="R58" s="179" t="e">
        <f t="shared" si="46"/>
        <v>#REF!</v>
      </c>
      <c r="S58" s="184" t="e">
        <f>#REF!+AH58+AP58+AX58+BF58+BN58+BV58+CD58+CL58+CT58</f>
        <v>#REF!</v>
      </c>
      <c r="T58" s="376" t="e">
        <f>'Учебный план-з'!#REF!</f>
        <v>#REF!</v>
      </c>
      <c r="U58" s="260" t="e">
        <f>'Учебный план-з'!#REF!</f>
        <v>#REF!</v>
      </c>
      <c r="V58" s="260" t="e">
        <f>'Учебный план-з'!#REF!</f>
        <v>#REF!</v>
      </c>
      <c r="W58" s="260" t="e">
        <f>'Учебный план-з'!#REF!</f>
        <v>#REF!</v>
      </c>
      <c r="X58" s="260" t="e">
        <f>'Учебный план-з'!#REF!</f>
        <v>#REF!</v>
      </c>
      <c r="Y58" s="260" t="e">
        <f>'Учебный план-з'!#REF!</f>
        <v>#REF!</v>
      </c>
      <c r="Z58" s="381" t="e">
        <f>'Учебный план-з'!#REF!</f>
        <v>#REF!</v>
      </c>
    </row>
    <row r="59" spans="1:26" x14ac:dyDescent="0.2">
      <c r="A59" s="350" t="s">
        <v>416</v>
      </c>
      <c r="B59" s="368" t="str">
        <f>'Учебный план'!B82</f>
        <v>Шлюпочно-такелажная</v>
      </c>
      <c r="C59" s="143">
        <f>'Учебный план'!C82</f>
        <v>0</v>
      </c>
      <c r="D59" s="143">
        <f>'Учебный план'!D82</f>
        <v>0</v>
      </c>
      <c r="E59" s="143" t="str">
        <f>'Учебный план'!E82</f>
        <v>4</v>
      </c>
      <c r="F59" s="143">
        <f>'Учебный план'!F82</f>
        <v>0</v>
      </c>
      <c r="G59" s="143">
        <f>'Учебный план'!G82</f>
        <v>0</v>
      </c>
      <c r="H59" s="143">
        <f>'Учебный план'!H82</f>
        <v>0</v>
      </c>
      <c r="I59" s="188"/>
      <c r="J59" s="140"/>
      <c r="K59" s="366">
        <f>'Учебный план'!K82</f>
        <v>72</v>
      </c>
      <c r="L59" s="355" t="e">
        <f t="shared" ref="L59:L60" si="47">SUM(M59:Q59)</f>
        <v>#REF!</v>
      </c>
      <c r="M59" s="138"/>
      <c r="N59" s="138" t="e">
        <f>V59+AC59+AK59+AS59+BA59+BI59+BQ59+BY59+CG59+CO59</f>
        <v>#REF!</v>
      </c>
      <c r="O59" s="138" t="e">
        <f>W59+AD59+AL59+AT59+BB59+BJ59+BR59+BZ59+CH59+CP59</f>
        <v>#REF!</v>
      </c>
      <c r="P59" s="138"/>
      <c r="Q59" s="138"/>
      <c r="R59" s="138"/>
      <c r="S59" s="168" t="e">
        <f>#REF!+AH59+AP59+AX59+BF59+BN59+BV59+CD59+CL59+CT59</f>
        <v>#REF!</v>
      </c>
      <c r="T59" s="376" t="e">
        <f>'Учебный план-з'!#REF!</f>
        <v>#REF!</v>
      </c>
      <c r="U59" s="260" t="e">
        <f>'Учебный план-з'!#REF!</f>
        <v>#REF!</v>
      </c>
      <c r="V59" s="260" t="e">
        <f>'Учебный план-з'!#REF!</f>
        <v>#REF!</v>
      </c>
      <c r="W59" s="260" t="e">
        <f>'Учебный план-з'!#REF!</f>
        <v>#REF!</v>
      </c>
      <c r="X59" s="260" t="e">
        <f>'Учебный план-з'!#REF!</f>
        <v>#REF!</v>
      </c>
      <c r="Y59" s="260" t="e">
        <f>'Учебный план-з'!#REF!</f>
        <v>#REF!</v>
      </c>
      <c r="Z59" s="381" t="e">
        <f>'Учебный план-з'!#REF!</f>
        <v>#REF!</v>
      </c>
    </row>
    <row r="60" spans="1:26" x14ac:dyDescent="0.2">
      <c r="A60" s="350" t="s">
        <v>418</v>
      </c>
      <c r="B60" s="368" t="str">
        <f>'Учебный план'!B83</f>
        <v>Групповая плавательская</v>
      </c>
      <c r="C60" s="143">
        <f>'Учебный план'!C83</f>
        <v>0</v>
      </c>
      <c r="D60" s="143">
        <f>'Учебный план'!D83</f>
        <v>0</v>
      </c>
      <c r="E60" s="143" t="str">
        <f>'Учебный план'!E83</f>
        <v>4</v>
      </c>
      <c r="F60" s="143">
        <f>'Учебный план'!F83</f>
        <v>0</v>
      </c>
      <c r="G60" s="143">
        <f>'Учебный план'!G83</f>
        <v>0</v>
      </c>
      <c r="H60" s="143">
        <f>'Учебный план'!H83</f>
        <v>0</v>
      </c>
      <c r="I60" s="188"/>
      <c r="J60" s="140"/>
      <c r="K60" s="366">
        <f>'Учебный план'!K83</f>
        <v>144</v>
      </c>
      <c r="L60" s="355" t="e">
        <f t="shared" si="47"/>
        <v>#REF!</v>
      </c>
      <c r="M60" s="138"/>
      <c r="N60" s="138" t="e">
        <f>V60+AC60+AK60+AS60+BA60+BI60+BQ60+BY60+CG60+CO60</f>
        <v>#REF!</v>
      </c>
      <c r="O60" s="138" t="e">
        <f>W60+AD60+AL60+AT60+BB60+BJ60+BR60+BZ60+CH60+CP60</f>
        <v>#REF!</v>
      </c>
      <c r="P60" s="138"/>
      <c r="Q60" s="138"/>
      <c r="R60" s="138"/>
      <c r="S60" s="168" t="e">
        <f>#REF!+AH60+AP60+AX60+BF60+BN60+BV60+CD60+CL60+CT60</f>
        <v>#REF!</v>
      </c>
      <c r="T60" s="376" t="e">
        <f>'Учебный план-з'!#REF!</f>
        <v>#REF!</v>
      </c>
      <c r="U60" s="260" t="e">
        <f>'Учебный план-з'!#REF!</f>
        <v>#REF!</v>
      </c>
      <c r="V60" s="260" t="e">
        <f>'Учебный план-з'!#REF!</f>
        <v>#REF!</v>
      </c>
      <c r="W60" s="260" t="e">
        <f>'Учебный план-з'!#REF!</f>
        <v>#REF!</v>
      </c>
      <c r="X60" s="260" t="e">
        <f>'Учебный план-з'!#REF!</f>
        <v>#REF!</v>
      </c>
      <c r="Y60" s="260" t="e">
        <f>'Учебный план-з'!#REF!</f>
        <v>#REF!</v>
      </c>
      <c r="Z60" s="381" t="e">
        <f>'Учебный план-з'!#REF!</f>
        <v>#REF!</v>
      </c>
    </row>
    <row r="61" spans="1:26" ht="13.5" thickBot="1" x14ac:dyDescent="0.25">
      <c r="A61" s="201" t="s">
        <v>430</v>
      </c>
      <c r="B61" s="368" t="str">
        <f>'Учебный план'!B84</f>
        <v>Практика по БЖС и ОСПС</v>
      </c>
      <c r="C61" s="143">
        <f>'Учебный план'!C84</f>
        <v>0</v>
      </c>
      <c r="D61" s="143">
        <f>'Учебный план'!D84</f>
        <v>0</v>
      </c>
      <c r="E61" s="143" t="str">
        <f>'Учебный план'!E84</f>
        <v>5</v>
      </c>
      <c r="F61" s="143">
        <f>'Учебный план'!F84</f>
        <v>0</v>
      </c>
      <c r="G61" s="143">
        <f>'Учебный план'!G84</f>
        <v>0</v>
      </c>
      <c r="H61" s="143">
        <f>'Учебный план'!H84</f>
        <v>0</v>
      </c>
      <c r="I61" s="189"/>
      <c r="J61" s="258"/>
      <c r="K61" s="366">
        <f>'Учебный план'!K84</f>
        <v>82</v>
      </c>
      <c r="L61" s="173" t="e">
        <f>SUM(#REF!)</f>
        <v>#REF!</v>
      </c>
      <c r="M61" s="173" t="e">
        <f>SUM(#REF!)</f>
        <v>#REF!</v>
      </c>
      <c r="N61" s="173" t="e">
        <f>SUM(#REF!)</f>
        <v>#REF!</v>
      </c>
      <c r="O61" s="173" t="e">
        <f>SUM(#REF!)</f>
        <v>#REF!</v>
      </c>
      <c r="P61" s="173" t="e">
        <f>SUM(#REF!)</f>
        <v>#REF!</v>
      </c>
      <c r="Q61" s="173" t="e">
        <f>SUM(#REF!)</f>
        <v>#REF!</v>
      </c>
      <c r="R61" s="173" t="e">
        <f>SUM(#REF!)</f>
        <v>#REF!</v>
      </c>
      <c r="S61" s="174" t="e">
        <f>SUM(#REF!)</f>
        <v>#REF!</v>
      </c>
      <c r="T61" s="376" t="e">
        <f>'Учебный план-з'!#REF!</f>
        <v>#REF!</v>
      </c>
      <c r="U61" s="260" t="e">
        <f>'Учебный план-з'!#REF!</f>
        <v>#REF!</v>
      </c>
      <c r="V61" s="260" t="e">
        <f>'Учебный план-з'!#REF!</f>
        <v>#REF!</v>
      </c>
      <c r="W61" s="260" t="e">
        <f>'Учебный план-з'!#REF!</f>
        <v>#REF!</v>
      </c>
      <c r="X61" s="260" t="e">
        <f>'Учебный план-з'!#REF!</f>
        <v>#REF!</v>
      </c>
      <c r="Y61" s="260" t="e">
        <f>'Учебный план-з'!#REF!</f>
        <v>#REF!</v>
      </c>
      <c r="Z61" s="381" t="e">
        <f>'Учебный план-з'!#REF!</f>
        <v>#REF!</v>
      </c>
    </row>
    <row r="62" spans="1:26" x14ac:dyDescent="0.2">
      <c r="A62" s="351" t="s">
        <v>199</v>
      </c>
      <c r="B62" s="980" t="s">
        <v>134</v>
      </c>
      <c r="C62" s="981"/>
      <c r="D62" s="281"/>
      <c r="E62" s="281"/>
      <c r="F62" s="281"/>
      <c r="G62" s="281"/>
      <c r="H62" s="282"/>
      <c r="I62" s="283"/>
      <c r="J62" s="284"/>
      <c r="K62" s="367">
        <f>'Учебный план'!K87</f>
        <v>1116</v>
      </c>
      <c r="L62" s="283" t="e">
        <f>SUM(#REF!)</f>
        <v>#REF!</v>
      </c>
      <c r="M62" s="285" t="e">
        <f>SUM(#REF!)</f>
        <v>#REF!</v>
      </c>
      <c r="N62" s="285" t="e">
        <f>SUM(#REF!)</f>
        <v>#REF!</v>
      </c>
      <c r="O62" s="285" t="e">
        <f>SUM(#REF!)</f>
        <v>#REF!</v>
      </c>
      <c r="P62" s="285" t="e">
        <f>SUM(#REF!)</f>
        <v>#REF!</v>
      </c>
      <c r="Q62" s="285" t="e">
        <f>SUM(#REF!)</f>
        <v>#REF!</v>
      </c>
      <c r="R62" s="285" t="e">
        <f>SUM(#REF!)</f>
        <v>#REF!</v>
      </c>
      <c r="S62" s="286" t="e">
        <f>SUM(#REF!)</f>
        <v>#REF!</v>
      </c>
      <c r="T62" s="376">
        <f>'Учебный план-з'!M61</f>
        <v>1476</v>
      </c>
      <c r="U62" s="265">
        <f>'Учебный план-з'!D61</f>
        <v>0</v>
      </c>
      <c r="V62" s="265" t="str">
        <f>'Учебный план-з'!E61</f>
        <v>2,3,4</v>
      </c>
      <c r="W62" s="265" t="e">
        <f>'Учебный план-з'!#REF!</f>
        <v>#REF!</v>
      </c>
      <c r="X62" s="265">
        <f>'Учебный план-з'!G61</f>
        <v>0</v>
      </c>
      <c r="Y62" s="265">
        <f>'Учебный план-з'!H61</f>
        <v>0</v>
      </c>
      <c r="Z62" s="379" t="str">
        <f>'Учебный план-з'!B61</f>
        <v>Производственная практика</v>
      </c>
    </row>
    <row r="63" spans="1:26" ht="38.25" x14ac:dyDescent="0.2">
      <c r="A63" s="337"/>
      <c r="B63" s="368" t="str">
        <f>'Учебный план'!B88</f>
        <v>Производственная практика (практика по профилю специальности)</v>
      </c>
      <c r="C63" s="143">
        <f>'Учебный план'!C88</f>
        <v>0</v>
      </c>
      <c r="D63" s="143">
        <f>'Учебный план'!D88</f>
        <v>0</v>
      </c>
      <c r="E63" s="143" t="str">
        <f>'Учебный план'!E88</f>
        <v>7</v>
      </c>
      <c r="F63" s="143">
        <f>'Учебный план'!F88</f>
        <v>0</v>
      </c>
      <c r="G63" s="143">
        <f>'Учебный план'!G88</f>
        <v>0</v>
      </c>
      <c r="H63" s="143">
        <f>'Учебный план'!H88</f>
        <v>0</v>
      </c>
      <c r="I63" s="119"/>
      <c r="J63" s="120"/>
      <c r="K63" s="366">
        <f>'Учебный план'!K88</f>
        <v>972</v>
      </c>
      <c r="L63" s="361"/>
      <c r="M63" s="118"/>
      <c r="N63" s="118"/>
      <c r="O63" s="118"/>
      <c r="P63" s="118"/>
      <c r="Q63" s="118"/>
      <c r="R63" s="118"/>
      <c r="S63" s="183"/>
      <c r="T63" s="376">
        <f>'Учебный план-з'!M62</f>
        <v>1332</v>
      </c>
      <c r="U63" s="260">
        <f>'Учебный план-з'!D62</f>
        <v>0</v>
      </c>
      <c r="V63" s="260" t="str">
        <f>'Учебный план-з'!E62</f>
        <v>3,4</v>
      </c>
      <c r="W63" s="260" t="e">
        <f>'Учебный план-з'!#REF!</f>
        <v>#REF!</v>
      </c>
      <c r="X63" s="260">
        <f>'Учебный план-з'!G62</f>
        <v>0</v>
      </c>
      <c r="Y63" s="260">
        <f>'Учебный план-з'!H62</f>
        <v>0</v>
      </c>
      <c r="Z63" s="381" t="str">
        <f>'Учебный план-з'!B62</f>
        <v>Производственная практика (практика по профилю специальности)</v>
      </c>
    </row>
    <row r="64" spans="1:26" ht="13.5" thickBot="1" x14ac:dyDescent="0.25">
      <c r="A64" s="337"/>
      <c r="B64" s="368" t="str">
        <f>'Учебный план'!B89</f>
        <v>Преддипломная практика</v>
      </c>
      <c r="C64" s="143">
        <f>'Учебный план'!C89</f>
        <v>0</v>
      </c>
      <c r="D64" s="143">
        <f>'Учебный план'!D89</f>
        <v>0</v>
      </c>
      <c r="E64" s="143" t="str">
        <f>'Учебный план'!E89</f>
        <v>7</v>
      </c>
      <c r="F64" s="143">
        <f>'Учебный план'!F89</f>
        <v>0</v>
      </c>
      <c r="G64" s="143">
        <f>'Учебный план'!G89</f>
        <v>0</v>
      </c>
      <c r="H64" s="143">
        <f>'Учебный план'!H89</f>
        <v>0</v>
      </c>
      <c r="I64" s="119"/>
      <c r="J64" s="120"/>
      <c r="K64" s="366">
        <f>'Учебный план'!K89</f>
        <v>144</v>
      </c>
      <c r="L64" s="361"/>
      <c r="M64" s="118"/>
      <c r="N64" s="118"/>
      <c r="O64" s="118"/>
      <c r="P64" s="118"/>
      <c r="Q64" s="118"/>
      <c r="R64" s="118"/>
      <c r="S64" s="183"/>
      <c r="T64" s="376">
        <f>'Учебный план-з'!M62</f>
        <v>1332</v>
      </c>
      <c r="U64" s="260">
        <f>'Учебный план-з'!D63</f>
        <v>0</v>
      </c>
      <c r="V64" s="260" t="str">
        <f>'Учебный план-з'!E63</f>
        <v>4</v>
      </c>
      <c r="W64" s="260" t="e">
        <f>'Учебный план-з'!#REF!</f>
        <v>#REF!</v>
      </c>
      <c r="X64" s="260">
        <f>'Учебный план-з'!G63</f>
        <v>0</v>
      </c>
      <c r="Y64" s="260">
        <f>'Учебный план-з'!H63</f>
        <v>0</v>
      </c>
      <c r="Z64" s="381" t="str">
        <f>'Учебный план-з'!B63</f>
        <v>Преддипломная практика</v>
      </c>
    </row>
    <row r="65" spans="1:26" ht="13.5" thickBot="1" x14ac:dyDescent="0.25">
      <c r="A65" s="334" t="s">
        <v>201</v>
      </c>
      <c r="B65" s="982" t="s">
        <v>202</v>
      </c>
      <c r="C65" s="983"/>
      <c r="D65" s="277"/>
      <c r="E65" s="277"/>
      <c r="F65" s="277"/>
      <c r="G65" s="277"/>
      <c r="H65" s="277"/>
      <c r="I65" s="278"/>
      <c r="J65" s="279" t="s">
        <v>22</v>
      </c>
      <c r="K65" s="367">
        <f>'Учебный план'!K90</f>
        <v>216</v>
      </c>
      <c r="L65" s="280" t="e">
        <f t="shared" ref="L65:S65" si="48">SUM(L66:L67)</f>
        <v>#REF!</v>
      </c>
      <c r="M65" s="287">
        <f t="shared" si="48"/>
        <v>0</v>
      </c>
      <c r="N65" s="287">
        <f t="shared" si="48"/>
        <v>0</v>
      </c>
      <c r="O65" s="287" t="e">
        <f t="shared" si="48"/>
        <v>#REF!</v>
      </c>
      <c r="P65" s="287">
        <f t="shared" si="48"/>
        <v>0</v>
      </c>
      <c r="Q65" s="287">
        <f t="shared" si="48"/>
        <v>0</v>
      </c>
      <c r="R65" s="287" t="e">
        <f t="shared" si="48"/>
        <v>#VALUE!</v>
      </c>
      <c r="S65" s="288" t="e">
        <f t="shared" si="48"/>
        <v>#REF!</v>
      </c>
      <c r="T65" s="376">
        <f>'Учебный план-з'!M64</f>
        <v>216</v>
      </c>
      <c r="U65" s="265">
        <f>'Учебный план-з'!D64</f>
        <v>0</v>
      </c>
      <c r="V65" s="265">
        <f>'Учебный план-з'!E64</f>
        <v>0</v>
      </c>
      <c r="W65" s="265" t="e">
        <f>'Учебный план-з'!#REF!</f>
        <v>#REF!</v>
      </c>
      <c r="X65" s="265">
        <f>'Учебный план-з'!G64</f>
        <v>0</v>
      </c>
      <c r="Y65" s="265">
        <f>'Учебный план-з'!H64</f>
        <v>0</v>
      </c>
      <c r="Z65" s="379" t="str">
        <f>'Учебный план-з'!B64</f>
        <v>Государственная итоговая аттестация</v>
      </c>
    </row>
    <row r="66" spans="1:26" x14ac:dyDescent="0.2">
      <c r="A66" s="348" t="s">
        <v>203</v>
      </c>
      <c r="B66" s="368" t="str">
        <f>'Учебный план'!B91</f>
        <v>Подготовка ВКР</v>
      </c>
      <c r="C66" s="143">
        <f>'Учебный план'!C91</f>
        <v>0</v>
      </c>
      <c r="D66" s="143">
        <f>'Учебный план'!D91</f>
        <v>0</v>
      </c>
      <c r="E66" s="143">
        <f>'Учебный план'!E91</f>
        <v>0</v>
      </c>
      <c r="F66" s="143">
        <f>'Учебный план'!F91</f>
        <v>0</v>
      </c>
      <c r="G66" s="143">
        <f>'Учебный план'!G91</f>
        <v>0</v>
      </c>
      <c r="H66" s="143">
        <f>'Учебный план'!H91</f>
        <v>0</v>
      </c>
      <c r="I66" s="178"/>
      <c r="J66" s="180"/>
      <c r="K66" s="366">
        <f>'Учебный план'!K91</f>
        <v>216</v>
      </c>
      <c r="L66" s="363" t="e">
        <f>SUM(M66:Q66)</f>
        <v>#REF!</v>
      </c>
      <c r="M66" s="179">
        <f t="shared" ref="M66:R67" si="49">U66+AB66+AJ66+AR66+AZ66+BH66+BP66+BX66+CF66+CN66</f>
        <v>0</v>
      </c>
      <c r="N66" s="179">
        <f t="shared" si="49"/>
        <v>0</v>
      </c>
      <c r="O66" s="179" t="e">
        <f t="shared" si="49"/>
        <v>#REF!</v>
      </c>
      <c r="P66" s="179">
        <f t="shared" si="49"/>
        <v>0</v>
      </c>
      <c r="Q66" s="179">
        <f t="shared" si="49"/>
        <v>0</v>
      </c>
      <c r="R66" s="179" t="e">
        <f t="shared" si="49"/>
        <v>#VALUE!</v>
      </c>
      <c r="S66" s="184" t="e">
        <f>#REF!+AH66+AP66+AX66+BF66+BN66+BV66+CD66+CL66+CT66</f>
        <v>#REF!</v>
      </c>
      <c r="T66" s="376">
        <f>'Учебный план-з'!M65</f>
        <v>216</v>
      </c>
      <c r="U66" s="260">
        <f>'Учебный план-з'!D65</f>
        <v>0</v>
      </c>
      <c r="V66" s="260">
        <f>'Учебный план-з'!E65</f>
        <v>0</v>
      </c>
      <c r="W66" s="260" t="e">
        <f>'Учебный план-з'!#REF!</f>
        <v>#REF!</v>
      </c>
      <c r="X66" s="260">
        <f>'Учебный план-з'!G65</f>
        <v>0</v>
      </c>
      <c r="Y66" s="260">
        <f>'Учебный план-з'!H65</f>
        <v>0</v>
      </c>
      <c r="Z66" s="377" t="str">
        <f>'Учебный план-з'!B65</f>
        <v>Подготовка ВКР</v>
      </c>
    </row>
    <row r="67" spans="1:26" ht="13.5" thickBot="1" x14ac:dyDescent="0.25">
      <c r="A67" s="352" t="s">
        <v>204</v>
      </c>
      <c r="B67" s="370" t="str">
        <f>'Учебный план'!B92</f>
        <v>Защита ВКР</v>
      </c>
      <c r="C67" s="371">
        <f>'Учебный план'!C92</f>
        <v>0</v>
      </c>
      <c r="D67" s="371">
        <f>'Учебный план'!D92</f>
        <v>0</v>
      </c>
      <c r="E67" s="371">
        <f>'Учебный план'!E92</f>
        <v>0</v>
      </c>
      <c r="F67" s="371">
        <f>'Учебный план'!F92</f>
        <v>0</v>
      </c>
      <c r="G67" s="371">
        <f>'Учебный план'!G92</f>
        <v>0</v>
      </c>
      <c r="H67" s="371">
        <f>'Учебный план'!H92</f>
        <v>0</v>
      </c>
      <c r="I67" s="372"/>
      <c r="J67" s="373"/>
      <c r="K67" s="374">
        <f>'Учебный план'!K92</f>
        <v>0</v>
      </c>
      <c r="L67" s="364" t="e">
        <f>SUM(M67:Q67)</f>
        <v>#REF!</v>
      </c>
      <c r="M67" s="153">
        <f t="shared" si="49"/>
        <v>0</v>
      </c>
      <c r="N67" s="153">
        <f t="shared" si="49"/>
        <v>0</v>
      </c>
      <c r="O67" s="153" t="e">
        <f t="shared" si="49"/>
        <v>#REF!</v>
      </c>
      <c r="P67" s="153">
        <f t="shared" si="49"/>
        <v>0</v>
      </c>
      <c r="Q67" s="153">
        <f t="shared" si="49"/>
        <v>0</v>
      </c>
      <c r="R67" s="153" t="e">
        <f t="shared" si="49"/>
        <v>#VALUE!</v>
      </c>
      <c r="S67" s="172" t="e">
        <f>#REF!+AH67+AP67+AX67+BF67+BN67+BV67+CD67+CL67+CT67</f>
        <v>#REF!</v>
      </c>
      <c r="T67" s="383">
        <f>'Учебный план-з'!M66</f>
        <v>0</v>
      </c>
      <c r="U67" s="384">
        <f>'Учебный план-з'!D66</f>
        <v>0</v>
      </c>
      <c r="V67" s="384">
        <f>'Учебный план-з'!E66</f>
        <v>0</v>
      </c>
      <c r="W67" s="384" t="e">
        <f>'Учебный план-з'!#REF!</f>
        <v>#REF!</v>
      </c>
      <c r="X67" s="384">
        <f>'Учебный план-з'!G66</f>
        <v>0</v>
      </c>
      <c r="Y67" s="384">
        <f>'Учебный план-з'!H66</f>
        <v>0</v>
      </c>
      <c r="Z67" s="385" t="str">
        <f>'Учебный план-з'!B66</f>
        <v>Защита ВКР</v>
      </c>
    </row>
  </sheetData>
  <sheetProtection password="8B06" sheet="1" objects="1" scenarios="1" selectLockedCells="1" selectUnlockedCells="1"/>
  <mergeCells count="43">
    <mergeCell ref="Z3:Z9"/>
    <mergeCell ref="B1:Z1"/>
    <mergeCell ref="U3:Y4"/>
    <mergeCell ref="U5:U9"/>
    <mergeCell ref="V5:V9"/>
    <mergeCell ref="W5:W9"/>
    <mergeCell ref="X5:X9"/>
    <mergeCell ref="Y5:Y9"/>
    <mergeCell ref="M6:M9"/>
    <mergeCell ref="N6:N9"/>
    <mergeCell ref="O6:O9"/>
    <mergeCell ref="P6:P9"/>
    <mergeCell ref="Q6:Q9"/>
    <mergeCell ref="F5:F9"/>
    <mergeCell ref="G5:G9"/>
    <mergeCell ref="H5:H9"/>
    <mergeCell ref="B62:C62"/>
    <mergeCell ref="B65:C65"/>
    <mergeCell ref="T4:T9"/>
    <mergeCell ref="B31:H31"/>
    <mergeCell ref="B40:H40"/>
    <mergeCell ref="B45:H45"/>
    <mergeCell ref="B48:H48"/>
    <mergeCell ref="B57:C57"/>
    <mergeCell ref="B10:C10"/>
    <mergeCell ref="B11:C11"/>
    <mergeCell ref="B16:H16"/>
    <mergeCell ref="B20:C20"/>
    <mergeCell ref="B21:C21"/>
    <mergeCell ref="B30:C30"/>
    <mergeCell ref="S5:S9"/>
    <mergeCell ref="L5:L9"/>
    <mergeCell ref="M5:Q5"/>
    <mergeCell ref="R5:R9"/>
    <mergeCell ref="A3:A9"/>
    <mergeCell ref="B3:B9"/>
    <mergeCell ref="C3:C9"/>
    <mergeCell ref="D3:H4"/>
    <mergeCell ref="I3:J8"/>
    <mergeCell ref="K4:K9"/>
    <mergeCell ref="L4:S4"/>
    <mergeCell ref="D5:D9"/>
    <mergeCell ref="E5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Титульный лист</vt:lpstr>
      <vt:lpstr>Учебный план</vt:lpstr>
      <vt:lpstr>Титульный лист-з</vt:lpstr>
      <vt:lpstr>Учебный план-з</vt:lpstr>
      <vt:lpstr>Нормы</vt:lpstr>
      <vt:lpstr>Компетенции</vt:lpstr>
      <vt:lpstr>Материально-техническая база</vt:lpstr>
      <vt:lpstr>Примечание</vt:lpstr>
      <vt:lpstr>Сравнение УП</vt:lpstr>
      <vt:lpstr>'Учебный план'!Заголовки_для_печати</vt:lpstr>
      <vt:lpstr>Нормы!Область_печати</vt:lpstr>
    </vt:vector>
  </TitlesOfParts>
  <Company>ВГАВТ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</dc:creator>
  <cp:lastModifiedBy>sys-123</cp:lastModifiedBy>
  <cp:lastPrinted>2017-06-07T06:37:49Z</cp:lastPrinted>
  <dcterms:created xsi:type="dcterms:W3CDTF">2001-03-30T05:31:47Z</dcterms:created>
  <dcterms:modified xsi:type="dcterms:W3CDTF">2019-11-25T21:45:02Z</dcterms:modified>
</cp:coreProperties>
</file>