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80" yWindow="-45" windowWidth="19320" windowHeight="7800" tabRatio="647"/>
  </bookViews>
  <sheets>
    <sheet name="Титульный лист (очная)" sheetId="28" r:id="rId1"/>
    <sheet name="Учебный план (очная)" sheetId="29" r:id="rId2"/>
    <sheet name="Титульный лист (заочная)" sheetId="30" r:id="rId3"/>
    <sheet name="Учебный план (заочная)" sheetId="31" r:id="rId4"/>
    <sheet name="Сравнение УП" sheetId="32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8" r:id="rId9"/>
  </sheets>
  <externalReferences>
    <externalReference r:id="rId10"/>
  </externalReferences>
  <definedNames>
    <definedName name="_FilterDatabase" localSheetId="1" hidden="1">'Учебный план (очная)'!$A$10:$CE$113</definedName>
    <definedName name="_xlnm._FilterDatabase" localSheetId="1" hidden="1">'Учебный план (очная)'!$A$10:$CR$10</definedName>
    <definedName name="Print_Area" localSheetId="5">Нормы!$A$1:$I$59</definedName>
    <definedName name="Print_Titles" localSheetId="1">'Учебный план (очная)'!$3:$9</definedName>
  </definedNames>
  <calcPr calcId="145621" fullPrecision="0"/>
</workbook>
</file>

<file path=xl/calcChain.xml><?xml version="1.0" encoding="utf-8"?>
<calcChain xmlns="http://schemas.openxmlformats.org/spreadsheetml/2006/main">
  <c r="AL64" i="31" l="1"/>
  <c r="AF64" i="31"/>
  <c r="Z64" i="31"/>
  <c r="AL63" i="31"/>
  <c r="AF63" i="31"/>
  <c r="Z63" i="31"/>
  <c r="AL62" i="31"/>
  <c r="AF62" i="31"/>
  <c r="Z62" i="31"/>
  <c r="AL61" i="31"/>
  <c r="AF61" i="31"/>
  <c r="Z61" i="31"/>
  <c r="AL60" i="31"/>
  <c r="AF60" i="31"/>
  <c r="Z60" i="31"/>
  <c r="AL59" i="31"/>
  <c r="AF59" i="31"/>
  <c r="Z59" i="31"/>
  <c r="AQ58" i="31"/>
  <c r="AP58" i="31"/>
  <c r="AO58" i="31"/>
  <c r="AN58" i="31"/>
  <c r="AM58" i="31"/>
  <c r="AL58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AL56" i="31"/>
  <c r="AF56" i="31"/>
  <c r="Z56" i="31"/>
  <c r="AL55" i="31"/>
  <c r="AF55" i="31"/>
  <c r="Z55" i="31"/>
  <c r="AL54" i="31"/>
  <c r="AF54" i="31"/>
  <c r="Z54" i="31"/>
  <c r="AQ53" i="31"/>
  <c r="AP53" i="31"/>
  <c r="AO53" i="31"/>
  <c r="AN53" i="31"/>
  <c r="AM53" i="31"/>
  <c r="AL53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AL51" i="31"/>
  <c r="AF51" i="31"/>
  <c r="Z51" i="31"/>
  <c r="AQ49" i="31"/>
  <c r="AP49" i="31"/>
  <c r="AO49" i="31"/>
  <c r="AN49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AL47" i="31"/>
  <c r="AF47" i="31"/>
  <c r="Z47" i="31"/>
  <c r="Z44" i="31" s="1"/>
  <c r="AL46" i="31"/>
  <c r="AF46" i="31"/>
  <c r="AF44" i="31" s="1"/>
  <c r="Z46" i="31"/>
  <c r="AQ44" i="31"/>
  <c r="AP44" i="31"/>
  <c r="AO44" i="31"/>
  <c r="AN44" i="31"/>
  <c r="AM44" i="31"/>
  <c r="AK44" i="31"/>
  <c r="AJ44" i="31"/>
  <c r="AI44" i="31"/>
  <c r="AH44" i="31"/>
  <c r="AG44" i="31"/>
  <c r="AE44" i="31"/>
  <c r="AD44" i="31"/>
  <c r="AC44" i="31"/>
  <c r="AB44" i="31"/>
  <c r="AA44" i="31"/>
  <c r="Y44" i="31"/>
  <c r="X44" i="31"/>
  <c r="W44" i="31"/>
  <c r="V44" i="31"/>
  <c r="U44" i="31"/>
  <c r="AL42" i="31"/>
  <c r="AF42" i="31"/>
  <c r="Z42" i="31"/>
  <c r="AL41" i="31"/>
  <c r="AF41" i="31"/>
  <c r="Z41" i="31"/>
  <c r="AL40" i="31"/>
  <c r="AF40" i="31"/>
  <c r="Z40" i="31"/>
  <c r="AL39" i="31"/>
  <c r="AF39" i="31"/>
  <c r="Z39" i="31"/>
  <c r="AL38" i="31"/>
  <c r="AF38" i="31"/>
  <c r="Z38" i="31"/>
  <c r="AL37" i="31"/>
  <c r="AF37" i="31"/>
  <c r="Z37" i="31"/>
  <c r="AL36" i="31"/>
  <c r="AF36" i="31"/>
  <c r="Z36" i="31"/>
  <c r="AL35" i="31"/>
  <c r="AF35" i="31"/>
  <c r="Z35" i="31"/>
  <c r="AL34" i="31"/>
  <c r="AL31" i="31" s="1"/>
  <c r="AF34" i="31"/>
  <c r="Z34" i="31"/>
  <c r="AL33" i="31"/>
  <c r="AF33" i="31"/>
  <c r="AF31" i="31" s="1"/>
  <c r="Z33" i="31"/>
  <c r="AQ31" i="31"/>
  <c r="AP31" i="31"/>
  <c r="AP30" i="31" s="1"/>
  <c r="AO31" i="31"/>
  <c r="AN31" i="31"/>
  <c r="AN30" i="31" s="1"/>
  <c r="AM31" i="31"/>
  <c r="AK31" i="31"/>
  <c r="AJ31" i="31"/>
  <c r="AJ30" i="31" s="1"/>
  <c r="AI31" i="31"/>
  <c r="AH31" i="31"/>
  <c r="AH30" i="31" s="1"/>
  <c r="AG31" i="31"/>
  <c r="AE31" i="31"/>
  <c r="AD31" i="31"/>
  <c r="AD30" i="31" s="1"/>
  <c r="AC31" i="31"/>
  <c r="AB31" i="31"/>
  <c r="AB30" i="31" s="1"/>
  <c r="AA31" i="31"/>
  <c r="Z31" i="31"/>
  <c r="Y31" i="31"/>
  <c r="X31" i="31"/>
  <c r="X30" i="31" s="1"/>
  <c r="W31" i="31"/>
  <c r="V31" i="31"/>
  <c r="V30" i="31" s="1"/>
  <c r="U31" i="31"/>
  <c r="AQ30" i="31"/>
  <c r="AO30" i="31"/>
  <c r="AM30" i="31"/>
  <c r="AK30" i="31"/>
  <c r="AI30" i="31"/>
  <c r="AG30" i="31"/>
  <c r="AE30" i="31"/>
  <c r="AC30" i="31"/>
  <c r="AA30" i="31"/>
  <c r="Y30" i="31"/>
  <c r="W30" i="31"/>
  <c r="U30" i="31"/>
  <c r="AL29" i="31"/>
  <c r="AF29" i="31"/>
  <c r="Z29" i="31"/>
  <c r="AL28" i="31"/>
  <c r="AF28" i="31"/>
  <c r="Z28" i="31"/>
  <c r="AL27" i="31"/>
  <c r="AF27" i="31"/>
  <c r="Z27" i="31"/>
  <c r="AL26" i="31"/>
  <c r="AF26" i="31"/>
  <c r="Z26" i="31"/>
  <c r="AL25" i="31"/>
  <c r="AF25" i="31"/>
  <c r="Z25" i="31"/>
  <c r="AL24" i="31"/>
  <c r="AF24" i="31"/>
  <c r="Z24" i="31"/>
  <c r="Z22" i="31" s="1"/>
  <c r="AL23" i="31"/>
  <c r="AF23" i="31"/>
  <c r="AF22" i="31" s="1"/>
  <c r="Z23" i="31"/>
  <c r="AQ22" i="31"/>
  <c r="AQ21" i="31" s="1"/>
  <c r="AP22" i="31"/>
  <c r="AO22" i="31"/>
  <c r="AO21" i="31" s="1"/>
  <c r="AN22" i="31"/>
  <c r="AM22" i="31"/>
  <c r="AM21" i="31" s="1"/>
  <c r="AK22" i="31"/>
  <c r="AK21" i="31" s="1"/>
  <c r="AJ22" i="31"/>
  <c r="AI22" i="31"/>
  <c r="AI21" i="31" s="1"/>
  <c r="AH22" i="31"/>
  <c r="AG22" i="31"/>
  <c r="AG21" i="31" s="1"/>
  <c r="AE22" i="31"/>
  <c r="AE21" i="31" s="1"/>
  <c r="AD22" i="31"/>
  <c r="AC22" i="31"/>
  <c r="AC21" i="31" s="1"/>
  <c r="AB22" i="31"/>
  <c r="AA22" i="31"/>
  <c r="AA21" i="31" s="1"/>
  <c r="Y22" i="31"/>
  <c r="Y21" i="31" s="1"/>
  <c r="X22" i="31"/>
  <c r="W22" i="31"/>
  <c r="W21" i="31" s="1"/>
  <c r="V22" i="31"/>
  <c r="U22" i="31"/>
  <c r="U21" i="31" s="1"/>
  <c r="AL20" i="31"/>
  <c r="AF20" i="31"/>
  <c r="Z20" i="31"/>
  <c r="AL19" i="31"/>
  <c r="AF19" i="31"/>
  <c r="Z19" i="31"/>
  <c r="AL18" i="31"/>
  <c r="AF18" i="31"/>
  <c r="Z18" i="31"/>
  <c r="AQ17" i="31"/>
  <c r="AP17" i="31"/>
  <c r="AO17" i="31"/>
  <c r="AN17" i="31"/>
  <c r="AM17" i="31"/>
  <c r="AL17" i="31"/>
  <c r="AK17" i="31"/>
  <c r="AJ17" i="31"/>
  <c r="AI17" i="31"/>
  <c r="AH17" i="31"/>
  <c r="AG17" i="31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AL16" i="31"/>
  <c r="AF16" i="31"/>
  <c r="Z16" i="31"/>
  <c r="AL15" i="31"/>
  <c r="AF15" i="31"/>
  <c r="Z15" i="31"/>
  <c r="AL14" i="31"/>
  <c r="AF14" i="31"/>
  <c r="Z14" i="31"/>
  <c r="AL13" i="31"/>
  <c r="AF13" i="31"/>
  <c r="Z13" i="31"/>
  <c r="AL22" i="31" l="1"/>
  <c r="AL44" i="31"/>
  <c r="V21" i="31"/>
  <c r="X21" i="31"/>
  <c r="AB21" i="31"/>
  <c r="AD21" i="31"/>
  <c r="AH21" i="31"/>
  <c r="AJ21" i="31"/>
  <c r="AN21" i="31"/>
  <c r="AP21" i="31"/>
  <c r="Z30" i="31"/>
  <c r="Z21" i="31" s="1"/>
  <c r="AF30" i="31"/>
  <c r="AF21" i="31" s="1"/>
  <c r="AL30" i="31"/>
  <c r="AL21" i="31" s="1"/>
  <c r="BH82" i="29" l="1"/>
  <c r="BH81" i="29"/>
  <c r="BH80" i="29"/>
  <c r="BH79" i="29"/>
  <c r="BH78" i="29"/>
  <c r="BH77" i="29"/>
  <c r="BH74" i="29"/>
  <c r="BH73" i="29"/>
  <c r="BH72" i="29"/>
  <c r="BH71" i="29"/>
  <c r="BM70" i="29"/>
  <c r="BL70" i="29"/>
  <c r="BK70" i="29"/>
  <c r="BJ70" i="29"/>
  <c r="BI70" i="29"/>
  <c r="BH70" i="29" s="1"/>
  <c r="BG70" i="29"/>
  <c r="BF70" i="29"/>
  <c r="BE70" i="29"/>
  <c r="BD70" i="29"/>
  <c r="BC70" i="29"/>
  <c r="BH68" i="29"/>
  <c r="BM66" i="29"/>
  <c r="BL66" i="29"/>
  <c r="BK66" i="29"/>
  <c r="BJ66" i="29"/>
  <c r="BI66" i="29"/>
  <c r="BG66" i="29"/>
  <c r="BF66" i="29"/>
  <c r="BE66" i="29"/>
  <c r="BD66" i="29"/>
  <c r="BC66" i="29"/>
  <c r="BH64" i="29"/>
  <c r="BH63" i="29"/>
  <c r="BM61" i="29"/>
  <c r="BL61" i="29"/>
  <c r="BK61" i="29"/>
  <c r="BJ61" i="29"/>
  <c r="BI61" i="29"/>
  <c r="BH61" i="29"/>
  <c r="BG61" i="29"/>
  <c r="BF61" i="29"/>
  <c r="BE61" i="29"/>
  <c r="BD61" i="29"/>
  <c r="BC61" i="29"/>
  <c r="BH59" i="29"/>
  <c r="BH58" i="29"/>
  <c r="BH57" i="29"/>
  <c r="BH56" i="29"/>
  <c r="BH55" i="29"/>
  <c r="BH54" i="29"/>
  <c r="BH53" i="29"/>
  <c r="BH52" i="29"/>
  <c r="BH51" i="29"/>
  <c r="BH50" i="29"/>
  <c r="BM48" i="29"/>
  <c r="BM47" i="29" s="1"/>
  <c r="BL48" i="29"/>
  <c r="BK48" i="29"/>
  <c r="BK47" i="29" s="1"/>
  <c r="BJ48" i="29"/>
  <c r="BI48" i="29"/>
  <c r="BH48" i="29" s="1"/>
  <c r="BG48" i="29"/>
  <c r="BG47" i="29" s="1"/>
  <c r="BF48" i="29"/>
  <c r="BE48" i="29"/>
  <c r="BE47" i="29" s="1"/>
  <c r="BD48" i="29"/>
  <c r="BD47" i="29" s="1"/>
  <c r="BC48" i="29"/>
  <c r="BC47" i="29" s="1"/>
  <c r="BL47" i="29"/>
  <c r="BJ47" i="29"/>
  <c r="BF47" i="29"/>
  <c r="BH46" i="29"/>
  <c r="BH45" i="29"/>
  <c r="BH44" i="29"/>
  <c r="BH43" i="29"/>
  <c r="BH42" i="29"/>
  <c r="BH41" i="29"/>
  <c r="BH40" i="29"/>
  <c r="BM39" i="29"/>
  <c r="BL39" i="29"/>
  <c r="BL38" i="29" s="1"/>
  <c r="BK39" i="29"/>
  <c r="BJ39" i="29"/>
  <c r="BJ38" i="29" s="1"/>
  <c r="BI39" i="29"/>
  <c r="BH39" i="29"/>
  <c r="BG39" i="29"/>
  <c r="BF39" i="29"/>
  <c r="BF38" i="29" s="1"/>
  <c r="BE39" i="29"/>
  <c r="BD39" i="29"/>
  <c r="BC39" i="29"/>
  <c r="BH37" i="29"/>
  <c r="BH36" i="29"/>
  <c r="BH35" i="29"/>
  <c r="BM34" i="29"/>
  <c r="BL34" i="29"/>
  <c r="BK34" i="29"/>
  <c r="BJ34" i="29"/>
  <c r="BI34" i="29"/>
  <c r="BG34" i="29"/>
  <c r="BF34" i="29"/>
  <c r="BE34" i="29"/>
  <c r="BD34" i="29"/>
  <c r="BC34" i="29"/>
  <c r="BH33" i="29"/>
  <c r="BH32" i="29"/>
  <c r="BH31" i="29"/>
  <c r="BH30" i="29"/>
  <c r="BC83" i="29"/>
  <c r="BC76" i="29" s="1"/>
  <c r="BD83" i="29"/>
  <c r="BD76" i="29" s="1"/>
  <c r="BE83" i="29"/>
  <c r="BE76" i="29" s="1"/>
  <c r="BF83" i="29"/>
  <c r="BF76" i="29" s="1"/>
  <c r="BG83" i="29"/>
  <c r="BG76" i="29" s="1"/>
  <c r="BI83" i="29"/>
  <c r="BI76" i="29" s="1"/>
  <c r="BJ83" i="29"/>
  <c r="BJ76" i="29" s="1"/>
  <c r="BK83" i="29"/>
  <c r="BK76" i="29" s="1"/>
  <c r="BL83" i="29"/>
  <c r="BL76" i="29" s="1"/>
  <c r="BM83" i="29"/>
  <c r="BM76" i="29" s="1"/>
  <c r="BH34" i="29" l="1"/>
  <c r="BC38" i="29"/>
  <c r="BE38" i="29"/>
  <c r="BG38" i="29"/>
  <c r="BH66" i="29"/>
  <c r="BD38" i="29"/>
  <c r="BH47" i="29"/>
  <c r="BH38" i="29" s="1"/>
  <c r="BK38" i="29"/>
  <c r="BM38" i="29"/>
  <c r="BI47" i="29"/>
  <c r="BI38" i="29" s="1"/>
  <c r="A50" i="31"/>
  <c r="B50" i="31"/>
  <c r="A45" i="31"/>
  <c r="B45" i="31"/>
  <c r="A32" i="31"/>
  <c r="B32" i="31"/>
  <c r="AY66" i="31"/>
  <c r="M68" i="31"/>
  <c r="T70" i="32" s="1"/>
  <c r="M72" i="31"/>
  <c r="P27" i="29"/>
  <c r="O27" i="29"/>
  <c r="N27" i="29"/>
  <c r="M27" i="29"/>
  <c r="L27" i="29" s="1"/>
  <c r="P26" i="29"/>
  <c r="O26" i="29"/>
  <c r="N26" i="29"/>
  <c r="M26" i="29"/>
  <c r="P25" i="29"/>
  <c r="O25" i="29"/>
  <c r="N25" i="29"/>
  <c r="M25" i="29"/>
  <c r="M14" i="29"/>
  <c r="N14" i="29"/>
  <c r="O14" i="29"/>
  <c r="P14" i="29"/>
  <c r="M15" i="29"/>
  <c r="N15" i="29"/>
  <c r="O15" i="29"/>
  <c r="P15" i="29"/>
  <c r="M16" i="29"/>
  <c r="N16" i="29"/>
  <c r="O16" i="29"/>
  <c r="P16" i="29"/>
  <c r="M17" i="29"/>
  <c r="N17" i="29"/>
  <c r="O17" i="29"/>
  <c r="P17" i="29"/>
  <c r="M18" i="29"/>
  <c r="N18" i="29"/>
  <c r="O18" i="29"/>
  <c r="P18" i="29"/>
  <c r="M19" i="29"/>
  <c r="N19" i="29"/>
  <c r="O19" i="29"/>
  <c r="P19" i="29"/>
  <c r="M20" i="29"/>
  <c r="N20" i="29"/>
  <c r="O20" i="29"/>
  <c r="P20" i="29"/>
  <c r="M21" i="29"/>
  <c r="N21" i="29"/>
  <c r="O21" i="29"/>
  <c r="P21" i="29"/>
  <c r="M22" i="29"/>
  <c r="N22" i="29"/>
  <c r="O22" i="29"/>
  <c r="P22" i="29"/>
  <c r="M23" i="29"/>
  <c r="N23" i="29"/>
  <c r="O23" i="29"/>
  <c r="P23" i="29"/>
  <c r="N13" i="29"/>
  <c r="O13" i="29"/>
  <c r="P13" i="29"/>
  <c r="M13" i="29"/>
  <c r="AV112" i="29"/>
  <c r="AP112" i="29"/>
  <c r="AD112" i="29"/>
  <c r="CA27" i="29"/>
  <c r="BS27" i="29"/>
  <c r="BH27" i="29"/>
  <c r="BB27" i="29"/>
  <c r="AV27" i="29"/>
  <c r="AP27" i="29"/>
  <c r="AJ27" i="29" s="1"/>
  <c r="AD27" i="29"/>
  <c r="X27" i="29"/>
  <c r="R27" i="29"/>
  <c r="CA26" i="29"/>
  <c r="BS26" i="29"/>
  <c r="BH26" i="29"/>
  <c r="BB26" i="29"/>
  <c r="AV26" i="29"/>
  <c r="AV24" i="29" s="1"/>
  <c r="AP26" i="29"/>
  <c r="AJ26" i="29" s="1"/>
  <c r="AD26" i="29"/>
  <c r="X26" i="29"/>
  <c r="R26" i="29"/>
  <c r="CA25" i="29"/>
  <c r="BS25" i="29"/>
  <c r="BH25" i="29"/>
  <c r="O24" i="29" s="1"/>
  <c r="BB25" i="29"/>
  <c r="AV25" i="29"/>
  <c r="AP25" i="29"/>
  <c r="AJ25" i="29" s="1"/>
  <c r="AD25" i="29"/>
  <c r="X25" i="29"/>
  <c r="R25" i="29"/>
  <c r="CH24" i="29"/>
  <c r="CG24" i="29"/>
  <c r="CF24" i="29"/>
  <c r="CE24" i="29"/>
  <c r="CC24" i="29"/>
  <c r="CB24" i="29"/>
  <c r="CA24" i="29"/>
  <c r="BZ24" i="29"/>
  <c r="BY24" i="29"/>
  <c r="BX24" i="29"/>
  <c r="BW24" i="29"/>
  <c r="BV24" i="29"/>
  <c r="BU24" i="29"/>
  <c r="BT24" i="29"/>
  <c r="BS24" i="29"/>
  <c r="BR24" i="29"/>
  <c r="BQ24" i="29"/>
  <c r="BP24" i="29"/>
  <c r="BO24" i="29"/>
  <c r="BN24" i="29"/>
  <c r="BM24" i="29"/>
  <c r="BL24" i="29"/>
  <c r="BK24" i="29"/>
  <c r="BJ24" i="29"/>
  <c r="BI24" i="29"/>
  <c r="BG24" i="29"/>
  <c r="BF24" i="29"/>
  <c r="BE24" i="29"/>
  <c r="BD24" i="29"/>
  <c r="BC24" i="29"/>
  <c r="BA24" i="29"/>
  <c r="AZ24" i="29"/>
  <c r="AY24" i="29"/>
  <c r="AX24" i="29"/>
  <c r="AW24" i="29"/>
  <c r="AU24" i="29"/>
  <c r="AT24" i="29"/>
  <c r="AS24" i="29"/>
  <c r="AR24" i="29"/>
  <c r="AQ24" i="29"/>
  <c r="AO24" i="29"/>
  <c r="AN24" i="29"/>
  <c r="AM24" i="29"/>
  <c r="AL24" i="29"/>
  <c r="AK24" i="29"/>
  <c r="AI24" i="29"/>
  <c r="AH24" i="29"/>
  <c r="AG24" i="29"/>
  <c r="AF24" i="29"/>
  <c r="AE24" i="29"/>
  <c r="AD24" i="29"/>
  <c r="AC24" i="29"/>
  <c r="AB24" i="29"/>
  <c r="AA24" i="29"/>
  <c r="Z24" i="29"/>
  <c r="Y24" i="29"/>
  <c r="W24" i="29"/>
  <c r="V24" i="29"/>
  <c r="U24" i="29"/>
  <c r="T24" i="29"/>
  <c r="S24" i="29"/>
  <c r="N24" i="29"/>
  <c r="M24" i="29"/>
  <c r="J24" i="29"/>
  <c r="CA23" i="29"/>
  <c r="BS23" i="29"/>
  <c r="BH23" i="29"/>
  <c r="BB23" i="29"/>
  <c r="AV23" i="29"/>
  <c r="AP23" i="29"/>
  <c r="AJ23" i="29" s="1"/>
  <c r="AD23" i="29"/>
  <c r="X23" i="29"/>
  <c r="R23" i="29"/>
  <c r="Q23" i="29"/>
  <c r="L23" i="29"/>
  <c r="CA22" i="29"/>
  <c r="BS22" i="29"/>
  <c r="BH22" i="29"/>
  <c r="BB22" i="29"/>
  <c r="AV22" i="29"/>
  <c r="AP22" i="29"/>
  <c r="AJ22" i="29" s="1"/>
  <c r="AD22" i="29"/>
  <c r="X22" i="29"/>
  <c r="R22" i="29"/>
  <c r="Q22" i="29"/>
  <c r="CA21" i="29"/>
  <c r="BS21" i="29"/>
  <c r="BH21" i="29"/>
  <c r="BB21" i="29"/>
  <c r="AV21" i="29"/>
  <c r="AP21" i="29"/>
  <c r="AJ21" i="29" s="1"/>
  <c r="AD21" i="29"/>
  <c r="X21" i="29"/>
  <c r="R21" i="29"/>
  <c r="L21" i="29"/>
  <c r="CA20" i="29"/>
  <c r="BS20" i="29"/>
  <c r="BH20" i="29"/>
  <c r="BB20" i="29"/>
  <c r="AV20" i="29"/>
  <c r="AP20" i="29"/>
  <c r="AJ20" i="29" s="1"/>
  <c r="AD20" i="29"/>
  <c r="X20" i="29"/>
  <c r="R20" i="29"/>
  <c r="Q20" i="29"/>
  <c r="X19" i="29"/>
  <c r="R19" i="29"/>
  <c r="Q19" i="29"/>
  <c r="CA18" i="29"/>
  <c r="BS18" i="29"/>
  <c r="BH18" i="29"/>
  <c r="BB18" i="29"/>
  <c r="AV18" i="29"/>
  <c r="AP18" i="29"/>
  <c r="AJ18" i="29" s="1"/>
  <c r="AD18" i="29"/>
  <c r="X18" i="29"/>
  <c r="R18" i="29"/>
  <c r="Q18" i="29"/>
  <c r="CA17" i="29"/>
  <c r="BS17" i="29"/>
  <c r="BH17" i="29"/>
  <c r="BB17" i="29"/>
  <c r="AV17" i="29"/>
  <c r="AP17" i="29"/>
  <c r="AJ17" i="29" s="1"/>
  <c r="AD17" i="29"/>
  <c r="X17" i="29"/>
  <c r="R17" i="29"/>
  <c r="Q17" i="29"/>
  <c r="CA16" i="29"/>
  <c r="BS16" i="29"/>
  <c r="BH16" i="29"/>
  <c r="BB16" i="29"/>
  <c r="AV16" i="29"/>
  <c r="AP16" i="29"/>
  <c r="AJ16" i="29" s="1"/>
  <c r="AD16" i="29"/>
  <c r="X16" i="29"/>
  <c r="R16" i="29"/>
  <c r="L16" i="29"/>
  <c r="CA15" i="29"/>
  <c r="BS15" i="29"/>
  <c r="BH15" i="29"/>
  <c r="BB15" i="29"/>
  <c r="AV15" i="29"/>
  <c r="AP15" i="29"/>
  <c r="AJ15" i="29" s="1"/>
  <c r="AD15" i="29"/>
  <c r="X15" i="29"/>
  <c r="R15" i="29"/>
  <c r="L15" i="29"/>
  <c r="X14" i="29"/>
  <c r="R14" i="29"/>
  <c r="Q14" i="29"/>
  <c r="CA13" i="29"/>
  <c r="BS13" i="29"/>
  <c r="BH13" i="29"/>
  <c r="BB13" i="29"/>
  <c r="AV13" i="29"/>
  <c r="AP13" i="29"/>
  <c r="AJ13" i="29" s="1"/>
  <c r="AD13" i="29"/>
  <c r="X13" i="29"/>
  <c r="R13" i="29"/>
  <c r="CH12" i="29"/>
  <c r="CH11" i="29" s="1"/>
  <c r="CG12" i="29"/>
  <c r="CG11" i="29" s="1"/>
  <c r="CF12" i="29"/>
  <c r="CF11" i="29" s="1"/>
  <c r="CE12" i="29"/>
  <c r="CD12" i="29"/>
  <c r="CD11" i="29" s="1"/>
  <c r="CC12" i="29"/>
  <c r="CB12" i="29"/>
  <c r="CB11" i="29" s="1"/>
  <c r="BZ12" i="29"/>
  <c r="BZ11" i="29" s="1"/>
  <c r="BY12" i="29"/>
  <c r="BY11" i="29" s="1"/>
  <c r="BX12" i="29"/>
  <c r="BX11" i="29" s="1"/>
  <c r="BW12" i="29"/>
  <c r="BV12" i="29"/>
  <c r="BV11" i="29" s="1"/>
  <c r="BU12" i="29"/>
  <c r="BU11" i="29" s="1"/>
  <c r="BT12" i="29"/>
  <c r="BT11" i="29" s="1"/>
  <c r="BR12" i="29"/>
  <c r="BR11" i="29" s="1"/>
  <c r="BQ12" i="29"/>
  <c r="BP12" i="29"/>
  <c r="BP11" i="29" s="1"/>
  <c r="BO12" i="29"/>
  <c r="BN12" i="29"/>
  <c r="BN11" i="29" s="1"/>
  <c r="BM12" i="29"/>
  <c r="BL12" i="29"/>
  <c r="BL11" i="29" s="1"/>
  <c r="BK12" i="29"/>
  <c r="BJ12" i="29"/>
  <c r="BJ11" i="29" s="1"/>
  <c r="BI12" i="29"/>
  <c r="BG12" i="29"/>
  <c r="BG11" i="29" s="1"/>
  <c r="BF12" i="29"/>
  <c r="BE12" i="29"/>
  <c r="BE11" i="29" s="1"/>
  <c r="BD12" i="29"/>
  <c r="BC12" i="29"/>
  <c r="BC11" i="29" s="1"/>
  <c r="BA12" i="29"/>
  <c r="AZ12" i="29"/>
  <c r="AZ11" i="29" s="1"/>
  <c r="AY12" i="29"/>
  <c r="AX12" i="29"/>
  <c r="AX11" i="29" s="1"/>
  <c r="AW12" i="29"/>
  <c r="AU12" i="29"/>
  <c r="AU11" i="29" s="1"/>
  <c r="AT12" i="29"/>
  <c r="AS12" i="29"/>
  <c r="AS11" i="29" s="1"/>
  <c r="AR12" i="29"/>
  <c r="AQ12" i="29"/>
  <c r="AQ11" i="29" s="1"/>
  <c r="AO12" i="29"/>
  <c r="AN12" i="29"/>
  <c r="AN11" i="29" s="1"/>
  <c r="AM12" i="29"/>
  <c r="AL12" i="29"/>
  <c r="AL11" i="29" s="1"/>
  <c r="AK12" i="29"/>
  <c r="AI12" i="29"/>
  <c r="AI11" i="29" s="1"/>
  <c r="AH12" i="29"/>
  <c r="AG12" i="29"/>
  <c r="AG11" i="29" s="1"/>
  <c r="AF12" i="29"/>
  <c r="AE12" i="29"/>
  <c r="AE11" i="29" s="1"/>
  <c r="AD12" i="29"/>
  <c r="AC12" i="29"/>
  <c r="AB12" i="29"/>
  <c r="AA12" i="29"/>
  <c r="Z12" i="29"/>
  <c r="Y12" i="29"/>
  <c r="W12" i="29"/>
  <c r="V12" i="29"/>
  <c r="V11" i="29" s="1"/>
  <c r="U12" i="29"/>
  <c r="T12" i="29"/>
  <c r="T11" i="29" s="1"/>
  <c r="S12" i="29"/>
  <c r="J12" i="29"/>
  <c r="CE11" i="29"/>
  <c r="BW11" i="29"/>
  <c r="BF11" i="29"/>
  <c r="AR11" i="29"/>
  <c r="AB11" i="29"/>
  <c r="S11" i="29"/>
  <c r="U70" i="32"/>
  <c r="V70" i="32"/>
  <c r="W70" i="32"/>
  <c r="X70" i="32"/>
  <c r="Y70" i="32"/>
  <c r="Z70" i="32"/>
  <c r="V69" i="32"/>
  <c r="W69" i="32"/>
  <c r="X69" i="32"/>
  <c r="Y69" i="32"/>
  <c r="Z69" i="32"/>
  <c r="V68" i="32"/>
  <c r="W68" i="32"/>
  <c r="X68" i="32"/>
  <c r="Y68" i="32"/>
  <c r="Z68" i="32"/>
  <c r="V63" i="32"/>
  <c r="W63" i="32"/>
  <c r="X63" i="32"/>
  <c r="Y63" i="32"/>
  <c r="Z63" i="32"/>
  <c r="U63" i="32"/>
  <c r="E73" i="32"/>
  <c r="F73" i="32"/>
  <c r="G73" i="32"/>
  <c r="H73" i="32"/>
  <c r="D73" i="32"/>
  <c r="E72" i="32"/>
  <c r="F72" i="32"/>
  <c r="G72" i="32"/>
  <c r="H72" i="32"/>
  <c r="I72" i="32"/>
  <c r="J72" i="32"/>
  <c r="AA68" i="32"/>
  <c r="U44" i="32"/>
  <c r="V44" i="32"/>
  <c r="W44" i="32"/>
  <c r="X44" i="32"/>
  <c r="Y44" i="32"/>
  <c r="B46" i="32"/>
  <c r="C46" i="32"/>
  <c r="D46" i="32"/>
  <c r="E46" i="32"/>
  <c r="F46" i="32"/>
  <c r="G46" i="32"/>
  <c r="H46" i="32"/>
  <c r="K46" i="32"/>
  <c r="B42" i="32"/>
  <c r="C42" i="32"/>
  <c r="D42" i="32"/>
  <c r="E42" i="32"/>
  <c r="F42" i="32"/>
  <c r="G42" i="32"/>
  <c r="H42" i="32"/>
  <c r="H40" i="32"/>
  <c r="G40" i="32"/>
  <c r="F40" i="32"/>
  <c r="E40" i="32"/>
  <c r="D40" i="32"/>
  <c r="C40" i="32"/>
  <c r="B40" i="32"/>
  <c r="H39" i="32"/>
  <c r="G39" i="32"/>
  <c r="F39" i="32"/>
  <c r="E39" i="32"/>
  <c r="D39" i="32"/>
  <c r="C39" i="32"/>
  <c r="B39" i="32"/>
  <c r="H38" i="32"/>
  <c r="G38" i="32"/>
  <c r="F38" i="32"/>
  <c r="E38" i="32"/>
  <c r="D38" i="32"/>
  <c r="C38" i="32"/>
  <c r="B38" i="32"/>
  <c r="H37" i="32"/>
  <c r="G37" i="32"/>
  <c r="F37" i="32"/>
  <c r="E37" i="32"/>
  <c r="D37" i="32"/>
  <c r="C37" i="32"/>
  <c r="B37" i="32"/>
  <c r="H36" i="32"/>
  <c r="G36" i="32"/>
  <c r="F36" i="32"/>
  <c r="E36" i="32"/>
  <c r="D36" i="32"/>
  <c r="C36" i="32"/>
  <c r="B36" i="32"/>
  <c r="H35" i="32"/>
  <c r="G35" i="32"/>
  <c r="F35" i="32"/>
  <c r="E35" i="32"/>
  <c r="D35" i="32"/>
  <c r="C35" i="32"/>
  <c r="B35" i="32"/>
  <c r="H34" i="32"/>
  <c r="G34" i="32"/>
  <c r="F34" i="32"/>
  <c r="E34" i="32"/>
  <c r="D34" i="32"/>
  <c r="C34" i="32"/>
  <c r="B34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31" i="32"/>
  <c r="G31" i="32"/>
  <c r="F31" i="32"/>
  <c r="E31" i="32"/>
  <c r="D31" i="32"/>
  <c r="C31" i="32"/>
  <c r="B31" i="32"/>
  <c r="H28" i="32"/>
  <c r="G28" i="32"/>
  <c r="F28" i="32"/>
  <c r="E28" i="32"/>
  <c r="D28" i="32"/>
  <c r="C28" i="32"/>
  <c r="B28" i="32"/>
  <c r="H27" i="32"/>
  <c r="G27" i="32"/>
  <c r="F27" i="32"/>
  <c r="E27" i="32"/>
  <c r="D27" i="32"/>
  <c r="C27" i="32"/>
  <c r="B27" i="32"/>
  <c r="H26" i="32"/>
  <c r="G26" i="32"/>
  <c r="F26" i="32"/>
  <c r="E26" i="32"/>
  <c r="D26" i="32"/>
  <c r="C26" i="32"/>
  <c r="B26" i="32"/>
  <c r="H25" i="32"/>
  <c r="G25" i="32"/>
  <c r="F25" i="32"/>
  <c r="E25" i="32"/>
  <c r="D25" i="32"/>
  <c r="C25" i="32"/>
  <c r="B25" i="32"/>
  <c r="H24" i="32"/>
  <c r="G24" i="32"/>
  <c r="F24" i="32"/>
  <c r="E24" i="32"/>
  <c r="D24" i="32"/>
  <c r="C24" i="32"/>
  <c r="B24" i="32"/>
  <c r="H23" i="32"/>
  <c r="G23" i="32"/>
  <c r="F23" i="32"/>
  <c r="E23" i="32"/>
  <c r="D23" i="32"/>
  <c r="C23" i="32"/>
  <c r="B23" i="32"/>
  <c r="H22" i="32"/>
  <c r="G22" i="32"/>
  <c r="F22" i="32"/>
  <c r="E22" i="32"/>
  <c r="D22" i="32"/>
  <c r="C22" i="32"/>
  <c r="B22" i="32"/>
  <c r="B18" i="32"/>
  <c r="C18" i="32"/>
  <c r="D18" i="32"/>
  <c r="E18" i="32"/>
  <c r="F18" i="32"/>
  <c r="G18" i="32"/>
  <c r="H18" i="32"/>
  <c r="B19" i="32"/>
  <c r="C19" i="32"/>
  <c r="D19" i="32"/>
  <c r="E19" i="32"/>
  <c r="F19" i="32"/>
  <c r="G19" i="32"/>
  <c r="H19" i="32"/>
  <c r="C17" i="32"/>
  <c r="D17" i="32"/>
  <c r="E17" i="32"/>
  <c r="F17" i="32"/>
  <c r="G17" i="32"/>
  <c r="H17" i="32"/>
  <c r="D13" i="32"/>
  <c r="E13" i="32"/>
  <c r="F13" i="32"/>
  <c r="G13" i="32"/>
  <c r="H13" i="32"/>
  <c r="D14" i="32"/>
  <c r="E14" i="32"/>
  <c r="F14" i="32"/>
  <c r="G14" i="32"/>
  <c r="H14" i="32"/>
  <c r="D15" i="32"/>
  <c r="E15" i="32"/>
  <c r="F15" i="32"/>
  <c r="G15" i="32"/>
  <c r="H15" i="32"/>
  <c r="E12" i="32"/>
  <c r="F12" i="32"/>
  <c r="G12" i="32"/>
  <c r="H12" i="32"/>
  <c r="AL68" i="31"/>
  <c r="B65" i="31"/>
  <c r="AA63" i="32" s="1"/>
  <c r="AZ65" i="31"/>
  <c r="AY65" i="31"/>
  <c r="AB111" i="29"/>
  <c r="AD111" i="29"/>
  <c r="AH111" i="29"/>
  <c r="AJ111" i="29"/>
  <c r="AN111" i="29"/>
  <c r="AP111" i="29"/>
  <c r="AT111" i="29"/>
  <c r="AZ111" i="29"/>
  <c r="AV111" i="29"/>
  <c r="BH111" i="29"/>
  <c r="BB111" i="29"/>
  <c r="BF111" i="29"/>
  <c r="BL111" i="29"/>
  <c r="L25" i="29" l="1"/>
  <c r="N12" i="29"/>
  <c r="L26" i="29"/>
  <c r="Q26" i="29"/>
  <c r="Q27" i="29"/>
  <c r="Q25" i="29"/>
  <c r="K25" i="29" s="1"/>
  <c r="K27" i="29"/>
  <c r="Z11" i="29"/>
  <c r="AD11" i="29"/>
  <c r="AF11" i="29"/>
  <c r="AH11" i="29"/>
  <c r="AK11" i="29"/>
  <c r="AM11" i="29"/>
  <c r="AO11" i="29"/>
  <c r="AT11" i="29"/>
  <c r="AW11" i="29"/>
  <c r="AY11" i="29"/>
  <c r="BA11" i="29"/>
  <c r="BD11" i="29"/>
  <c r="BI11" i="29"/>
  <c r="BK11" i="29"/>
  <c r="BM11" i="29"/>
  <c r="BO11" i="29"/>
  <c r="BQ11" i="29"/>
  <c r="CC11" i="29"/>
  <c r="U11" i="29"/>
  <c r="W11" i="29"/>
  <c r="N11" i="29"/>
  <c r="L13" i="29"/>
  <c r="M12" i="29"/>
  <c r="M11" i="29" s="1"/>
  <c r="BB12" i="29"/>
  <c r="BS12" i="29"/>
  <c r="BS11" i="29" s="1"/>
  <c r="P24" i="29"/>
  <c r="R12" i="29"/>
  <c r="AV12" i="29"/>
  <c r="AV11" i="29" s="1"/>
  <c r="BH12" i="29"/>
  <c r="CA12" i="29"/>
  <c r="CA11" i="29" s="1"/>
  <c r="BB24" i="29"/>
  <c r="Q21" i="29"/>
  <c r="K21" i="29" s="1"/>
  <c r="K23" i="29"/>
  <c r="Y11" i="29"/>
  <c r="AA11" i="29"/>
  <c r="R24" i="29"/>
  <c r="AP12" i="29"/>
  <c r="AP24" i="29"/>
  <c r="BH24" i="29"/>
  <c r="Q16" i="29"/>
  <c r="K16" i="29" s="1"/>
  <c r="X24" i="29"/>
  <c r="AJ12" i="29"/>
  <c r="O12" i="29"/>
  <c r="O11" i="29" s="1"/>
  <c r="P12" i="29"/>
  <c r="X12" i="29"/>
  <c r="AC11" i="29"/>
  <c r="X11" i="29"/>
  <c r="L22" i="29"/>
  <c r="K22" i="29" s="1"/>
  <c r="L20" i="29"/>
  <c r="K20" i="29" s="1"/>
  <c r="L14" i="29"/>
  <c r="L17" i="29"/>
  <c r="K17" i="29" s="1"/>
  <c r="L18" i="29"/>
  <c r="K18" i="29" s="1"/>
  <c r="L19" i="29"/>
  <c r="K19" i="29" s="1"/>
  <c r="AJ24" i="29"/>
  <c r="Q24" i="29"/>
  <c r="K14" i="29"/>
  <c r="Q13" i="29"/>
  <c r="Q15" i="29"/>
  <c r="K15" i="29" s="1"/>
  <c r="N68" i="29"/>
  <c r="L12" i="29" l="1"/>
  <c r="K26" i="29"/>
  <c r="K24" i="29" s="1"/>
  <c r="BB11" i="29"/>
  <c r="P11" i="29"/>
  <c r="AJ11" i="29"/>
  <c r="BH11" i="29"/>
  <c r="AP11" i="29"/>
  <c r="R11" i="29"/>
  <c r="L24" i="29"/>
  <c r="L11" i="29" s="1"/>
  <c r="Q12" i="29"/>
  <c r="Q11" i="29" s="1"/>
  <c r="K13" i="29"/>
  <c r="K12" i="29" s="1"/>
  <c r="AT110" i="29"/>
  <c r="AN110" i="29"/>
  <c r="AJ112" i="29"/>
  <c r="BB112" i="29"/>
  <c r="BH112" i="29"/>
  <c r="K11" i="29" l="1"/>
  <c r="BL110" i="29"/>
  <c r="BI91" i="29"/>
  <c r="BJ91" i="29"/>
  <c r="BK91" i="29"/>
  <c r="BM91" i="29"/>
  <c r="BO91" i="29"/>
  <c r="BP91" i="29"/>
  <c r="BQ91" i="29"/>
  <c r="BR91" i="29"/>
  <c r="BS91" i="29"/>
  <c r="BT91" i="29"/>
  <c r="BU91" i="29"/>
  <c r="BW91" i="29"/>
  <c r="BX91" i="29"/>
  <c r="BY91" i="29"/>
  <c r="BZ91" i="29"/>
  <c r="CA91" i="29"/>
  <c r="CB91" i="29"/>
  <c r="CC91" i="29"/>
  <c r="BL91" i="29"/>
  <c r="G17" i="24"/>
  <c r="E17" i="24"/>
  <c r="V56" i="32"/>
  <c r="U58" i="32"/>
  <c r="M58" i="32" s="1"/>
  <c r="V58" i="32"/>
  <c r="N58" i="32" s="1"/>
  <c r="W58" i="32"/>
  <c r="O58" i="32" s="1"/>
  <c r="X58" i="32"/>
  <c r="Y58" i="32"/>
  <c r="Q58" i="32" s="1"/>
  <c r="U59" i="32"/>
  <c r="V59" i="32"/>
  <c r="N59" i="32" s="1"/>
  <c r="W59" i="32"/>
  <c r="X59" i="32"/>
  <c r="P59" i="32" s="1"/>
  <c r="Y59" i="32"/>
  <c r="Q59" i="32" s="1"/>
  <c r="U60" i="32"/>
  <c r="M60" i="32" s="1"/>
  <c r="V60" i="32"/>
  <c r="N60" i="32" s="1"/>
  <c r="W60" i="32"/>
  <c r="O60" i="32" s="1"/>
  <c r="X60" i="32"/>
  <c r="P60" i="32" s="1"/>
  <c r="Y60" i="32"/>
  <c r="Q60" i="32" s="1"/>
  <c r="U61" i="32"/>
  <c r="V61" i="32"/>
  <c r="N61" i="32" s="1"/>
  <c r="W61" i="32"/>
  <c r="O61" i="32" s="1"/>
  <c r="X61" i="32"/>
  <c r="P61" i="32" s="1"/>
  <c r="Y61" i="32"/>
  <c r="U62" i="32"/>
  <c r="M62" i="32" s="1"/>
  <c r="V62" i="32"/>
  <c r="N62" i="32" s="1"/>
  <c r="W62" i="32"/>
  <c r="O62" i="32" s="1"/>
  <c r="X62" i="32"/>
  <c r="Y62" i="32"/>
  <c r="Q62" i="32" s="1"/>
  <c r="V57" i="32"/>
  <c r="W57" i="32"/>
  <c r="X57" i="32"/>
  <c r="Y57" i="32"/>
  <c r="U57" i="32"/>
  <c r="S37" i="32"/>
  <c r="U37" i="32"/>
  <c r="M37" i="32" s="1"/>
  <c r="V37" i="32"/>
  <c r="N37" i="32" s="1"/>
  <c r="W37" i="32"/>
  <c r="O37" i="32" s="1"/>
  <c r="X37" i="32"/>
  <c r="P37" i="32" s="1"/>
  <c r="Y37" i="32"/>
  <c r="Q37" i="32" s="1"/>
  <c r="S38" i="32"/>
  <c r="U38" i="32"/>
  <c r="M38" i="32" s="1"/>
  <c r="V38" i="32"/>
  <c r="N38" i="32" s="1"/>
  <c r="W38" i="32"/>
  <c r="O38" i="32" s="1"/>
  <c r="X38" i="32"/>
  <c r="P38" i="32" s="1"/>
  <c r="Y38" i="32"/>
  <c r="Q38" i="32" s="1"/>
  <c r="S39" i="32"/>
  <c r="U39" i="32"/>
  <c r="M39" i="32" s="1"/>
  <c r="V39" i="32"/>
  <c r="N39" i="32" s="1"/>
  <c r="W39" i="32"/>
  <c r="O39" i="32" s="1"/>
  <c r="X39" i="32"/>
  <c r="P39" i="32" s="1"/>
  <c r="Y39" i="32"/>
  <c r="Q39" i="32" s="1"/>
  <c r="S40" i="32"/>
  <c r="U40" i="32"/>
  <c r="M40" i="32" s="1"/>
  <c r="V40" i="32"/>
  <c r="N40" i="32" s="1"/>
  <c r="W40" i="32"/>
  <c r="O40" i="32" s="1"/>
  <c r="X40" i="32"/>
  <c r="P40" i="32" s="1"/>
  <c r="Y40" i="32"/>
  <c r="Q40" i="32" s="1"/>
  <c r="B58" i="32"/>
  <c r="C58" i="32"/>
  <c r="D58" i="32"/>
  <c r="E58" i="32"/>
  <c r="F58" i="32"/>
  <c r="G58" i="32"/>
  <c r="H58" i="32"/>
  <c r="S58" i="32"/>
  <c r="P58" i="32"/>
  <c r="B59" i="32"/>
  <c r="C59" i="32"/>
  <c r="D59" i="32"/>
  <c r="E59" i="32"/>
  <c r="F59" i="32"/>
  <c r="G59" i="32"/>
  <c r="H59" i="32"/>
  <c r="S59" i="32"/>
  <c r="M59" i="32"/>
  <c r="O59" i="32"/>
  <c r="B60" i="32"/>
  <c r="C60" i="32"/>
  <c r="D60" i="32"/>
  <c r="E60" i="32"/>
  <c r="F60" i="32"/>
  <c r="G60" i="32"/>
  <c r="H60" i="32"/>
  <c r="S60" i="32"/>
  <c r="B61" i="32"/>
  <c r="C61" i="32"/>
  <c r="D61" i="32"/>
  <c r="E61" i="32"/>
  <c r="F61" i="32"/>
  <c r="G61" i="32"/>
  <c r="H61" i="32"/>
  <c r="S61" i="32"/>
  <c r="M61" i="32"/>
  <c r="Q61" i="32"/>
  <c r="B62" i="32"/>
  <c r="C62" i="32"/>
  <c r="D62" i="32"/>
  <c r="E62" i="32"/>
  <c r="F62" i="32"/>
  <c r="G62" i="32"/>
  <c r="H62" i="32"/>
  <c r="S62" i="32"/>
  <c r="P62" i="32"/>
  <c r="AQ66" i="31"/>
  <c r="AP66" i="31"/>
  <c r="AO66" i="31"/>
  <c r="AN66" i="31"/>
  <c r="AM66" i="31"/>
  <c r="AK66" i="31"/>
  <c r="AJ66" i="31"/>
  <c r="AI66" i="31"/>
  <c r="AH66" i="31"/>
  <c r="AG66" i="31"/>
  <c r="AJ7" i="31" s="1"/>
  <c r="AE66" i="31"/>
  <c r="AD66" i="31"/>
  <c r="AC66" i="31"/>
  <c r="AB66" i="31"/>
  <c r="AA66" i="31"/>
  <c r="U66" i="31"/>
  <c r="V66" i="31"/>
  <c r="W66" i="31"/>
  <c r="X66" i="31"/>
  <c r="Y66" i="31"/>
  <c r="AZ63" i="31"/>
  <c r="AZ64" i="31"/>
  <c r="AY63" i="31"/>
  <c r="AY64" i="31"/>
  <c r="T63" i="31"/>
  <c r="T64" i="31"/>
  <c r="O63" i="31"/>
  <c r="P63" i="31"/>
  <c r="Q63" i="31"/>
  <c r="R63" i="31"/>
  <c r="S63" i="31"/>
  <c r="O64" i="31"/>
  <c r="P64" i="31"/>
  <c r="Q64" i="31"/>
  <c r="R64" i="31"/>
  <c r="S64" i="31"/>
  <c r="A63" i="31"/>
  <c r="B63" i="31"/>
  <c r="AA61" i="32" s="1"/>
  <c r="R61" i="32" s="1"/>
  <c r="A64" i="31"/>
  <c r="B64" i="31"/>
  <c r="AA62" i="32" s="1"/>
  <c r="R62" i="32" s="1"/>
  <c r="AZ41" i="31"/>
  <c r="AY41" i="31"/>
  <c r="T41" i="31"/>
  <c r="O41" i="31"/>
  <c r="P41" i="31"/>
  <c r="Q41" i="31"/>
  <c r="R41" i="31"/>
  <c r="S41" i="31"/>
  <c r="A41" i="31"/>
  <c r="B41" i="31"/>
  <c r="AA39" i="32" s="1"/>
  <c r="R39" i="32" s="1"/>
  <c r="AR61" i="31"/>
  <c r="AR62" i="31"/>
  <c r="BB28" i="30"/>
  <c r="BC28" i="30"/>
  <c r="BD28" i="30" s="1"/>
  <c r="BE28" i="30"/>
  <c r="BF28" i="30"/>
  <c r="BG28" i="30" s="1"/>
  <c r="BH28" i="30"/>
  <c r="BI28" i="30"/>
  <c r="BJ28" i="30"/>
  <c r="BM28" i="30"/>
  <c r="X7" i="31" l="1"/>
  <c r="AA65" i="31"/>
  <c r="AM65" i="31"/>
  <c r="AP7" i="31"/>
  <c r="Y77" i="31"/>
  <c r="W77" i="31"/>
  <c r="U77" i="31"/>
  <c r="AC77" i="31"/>
  <c r="AC65" i="31"/>
  <c r="AG77" i="31"/>
  <c r="AG65" i="31"/>
  <c r="AI77" i="31"/>
  <c r="AI65" i="31"/>
  <c r="AO77" i="31"/>
  <c r="AO65" i="31"/>
  <c r="V77" i="31"/>
  <c r="AB77" i="31"/>
  <c r="AB65" i="31"/>
  <c r="AD77" i="31"/>
  <c r="AE77" i="31"/>
  <c r="AE65" i="31"/>
  <c r="AH77" i="31"/>
  <c r="AH65" i="31"/>
  <c r="AJ77" i="31"/>
  <c r="AK77" i="31"/>
  <c r="AN77" i="31"/>
  <c r="AN65" i="31"/>
  <c r="AP77" i="31"/>
  <c r="AQ77" i="31"/>
  <c r="L40" i="32"/>
  <c r="L39" i="32"/>
  <c r="L38" i="32"/>
  <c r="L37" i="32"/>
  <c r="AM77" i="31"/>
  <c r="X77" i="31"/>
  <c r="AA77" i="31"/>
  <c r="L62" i="32"/>
  <c r="L61" i="32"/>
  <c r="L60" i="32"/>
  <c r="L59" i="32"/>
  <c r="L58" i="32"/>
  <c r="N41" i="31"/>
  <c r="N64" i="31"/>
  <c r="N63" i="31"/>
  <c r="BN28" i="30"/>
  <c r="AD7" i="31" l="1"/>
  <c r="M63" i="31"/>
  <c r="T61" i="32" s="1"/>
  <c r="M41" i="31"/>
  <c r="T39" i="32" s="1"/>
  <c r="M64" i="31"/>
  <c r="T62" i="32" s="1"/>
  <c r="BB59" i="29"/>
  <c r="AV59" i="29"/>
  <c r="AP59" i="29"/>
  <c r="AJ59" i="29"/>
  <c r="AD59" i="29"/>
  <c r="X59" i="29"/>
  <c r="R59" i="29"/>
  <c r="Q59" i="29"/>
  <c r="P59" i="29"/>
  <c r="O59" i="29"/>
  <c r="N59" i="29"/>
  <c r="M59" i="29"/>
  <c r="BB58" i="29"/>
  <c r="AV58" i="29"/>
  <c r="AP58" i="29"/>
  <c r="AJ58" i="29"/>
  <c r="AD58" i="29"/>
  <c r="X58" i="29"/>
  <c r="R58" i="29"/>
  <c r="Q58" i="29"/>
  <c r="P58" i="29"/>
  <c r="O58" i="29"/>
  <c r="N58" i="29"/>
  <c r="M58" i="29"/>
  <c r="AX66" i="29"/>
  <c r="AY66" i="29"/>
  <c r="AZ66" i="29"/>
  <c r="BA66" i="29"/>
  <c r="AW66" i="29"/>
  <c r="M88" i="29"/>
  <c r="Q88" i="29"/>
  <c r="L58" i="29" l="1"/>
  <c r="K58" i="29" s="1"/>
  <c r="L59" i="29"/>
  <c r="K59" i="29" s="1"/>
  <c r="K40" i="32" s="1"/>
  <c r="L41" i="31" l="1"/>
  <c r="J41" i="31" s="1"/>
  <c r="K39" i="32"/>
  <c r="K41" i="31"/>
  <c r="I41" i="31" s="1"/>
  <c r="BB82" i="29"/>
  <c r="AV82" i="29"/>
  <c r="AP82" i="29"/>
  <c r="AJ82" i="29"/>
  <c r="AD82" i="29"/>
  <c r="X82" i="29"/>
  <c r="R82" i="29"/>
  <c r="Q82" i="29"/>
  <c r="P82" i="29"/>
  <c r="O82" i="29"/>
  <c r="N82" i="29"/>
  <c r="M82" i="29"/>
  <c r="M93" i="29"/>
  <c r="N93" i="29"/>
  <c r="O93" i="29"/>
  <c r="P93" i="29"/>
  <c r="Q93" i="29"/>
  <c r="P88" i="29"/>
  <c r="BB81" i="29"/>
  <c r="AV81" i="29"/>
  <c r="AP81" i="29"/>
  <c r="AJ81" i="29"/>
  <c r="AD81" i="29"/>
  <c r="X81" i="29"/>
  <c r="R81" i="29"/>
  <c r="Q81" i="29"/>
  <c r="P81" i="29"/>
  <c r="O81" i="29"/>
  <c r="N81" i="29"/>
  <c r="M81" i="29"/>
  <c r="L81" i="29" l="1"/>
  <c r="K81" i="29" s="1"/>
  <c r="L82" i="29"/>
  <c r="L93" i="29"/>
  <c r="K93" i="29" s="1"/>
  <c r="L63" i="31" l="1"/>
  <c r="J63" i="31" s="1"/>
  <c r="K82" i="29"/>
  <c r="L64" i="31"/>
  <c r="J64" i="31" s="1"/>
  <c r="K61" i="32"/>
  <c r="K63" i="31"/>
  <c r="I63" i="31" s="1"/>
  <c r="K62" i="32" l="1"/>
  <c r="K64" i="31"/>
  <c r="I64" i="31" s="1"/>
  <c r="BH87" i="29"/>
  <c r="BH88" i="29"/>
  <c r="BG91" i="29" l="1"/>
  <c r="BF91" i="29"/>
  <c r="O14" i="31" l="1"/>
  <c r="P14" i="31"/>
  <c r="Q14" i="31"/>
  <c r="R14" i="31"/>
  <c r="S14" i="31"/>
  <c r="O15" i="31"/>
  <c r="P15" i="31"/>
  <c r="Q15" i="31"/>
  <c r="R15" i="31"/>
  <c r="S15" i="31"/>
  <c r="O16" i="31"/>
  <c r="P16" i="31"/>
  <c r="Q16" i="31"/>
  <c r="R16" i="31"/>
  <c r="S16" i="31"/>
  <c r="O18" i="31"/>
  <c r="P18" i="31"/>
  <c r="Q18" i="31"/>
  <c r="R18" i="31"/>
  <c r="S18" i="31"/>
  <c r="O19" i="31"/>
  <c r="P19" i="31"/>
  <c r="Q19" i="31"/>
  <c r="R19" i="31"/>
  <c r="S19" i="31"/>
  <c r="O20" i="31"/>
  <c r="P20" i="31"/>
  <c r="Q20" i="31"/>
  <c r="R20" i="31"/>
  <c r="S20" i="31"/>
  <c r="O23" i="31"/>
  <c r="P23" i="31"/>
  <c r="Q23" i="31"/>
  <c r="R23" i="31"/>
  <c r="S23" i="31"/>
  <c r="O24" i="31"/>
  <c r="P24" i="31"/>
  <c r="Q24" i="31"/>
  <c r="R24" i="31"/>
  <c r="S24" i="31"/>
  <c r="O25" i="31"/>
  <c r="P25" i="31"/>
  <c r="Q25" i="31"/>
  <c r="R25" i="31"/>
  <c r="S25" i="31"/>
  <c r="O26" i="31"/>
  <c r="P26" i="31"/>
  <c r="Q26" i="31"/>
  <c r="R26" i="31"/>
  <c r="S26" i="31"/>
  <c r="O27" i="31"/>
  <c r="P27" i="31"/>
  <c r="Q27" i="31"/>
  <c r="R27" i="31"/>
  <c r="S27" i="31"/>
  <c r="O28" i="31"/>
  <c r="P28" i="31"/>
  <c r="Q28" i="31"/>
  <c r="R28" i="31"/>
  <c r="S28" i="31"/>
  <c r="O29" i="31"/>
  <c r="P29" i="31"/>
  <c r="Q29" i="31"/>
  <c r="R29" i="31"/>
  <c r="S29" i="31"/>
  <c r="O33" i="31"/>
  <c r="P33" i="31"/>
  <c r="Q33" i="31"/>
  <c r="R33" i="31"/>
  <c r="S33" i="31"/>
  <c r="O34" i="31"/>
  <c r="P34" i="31"/>
  <c r="Q34" i="31"/>
  <c r="R34" i="31"/>
  <c r="S34" i="31"/>
  <c r="O35" i="31"/>
  <c r="P35" i="31"/>
  <c r="Q35" i="31"/>
  <c r="R35" i="31"/>
  <c r="S35" i="31"/>
  <c r="O36" i="31"/>
  <c r="P36" i="31"/>
  <c r="Q36" i="31"/>
  <c r="R36" i="31"/>
  <c r="S36" i="31"/>
  <c r="O37" i="31"/>
  <c r="P37" i="31"/>
  <c r="Q37" i="31"/>
  <c r="R37" i="31"/>
  <c r="S37" i="31"/>
  <c r="O38" i="31"/>
  <c r="P38" i="31"/>
  <c r="Q38" i="31"/>
  <c r="R38" i="31"/>
  <c r="S38" i="31"/>
  <c r="O39" i="31"/>
  <c r="P39" i="31"/>
  <c r="Q39" i="31"/>
  <c r="R39" i="31"/>
  <c r="S39" i="31"/>
  <c r="O40" i="31"/>
  <c r="P40" i="31"/>
  <c r="Q40" i="31"/>
  <c r="R40" i="31"/>
  <c r="S40" i="31"/>
  <c r="O42" i="31"/>
  <c r="P42" i="31"/>
  <c r="Q42" i="31"/>
  <c r="R42" i="31"/>
  <c r="S42" i="31"/>
  <c r="O43" i="31"/>
  <c r="P43" i="31"/>
  <c r="Q43" i="31"/>
  <c r="R43" i="31"/>
  <c r="S43" i="31"/>
  <c r="O46" i="31"/>
  <c r="P46" i="31"/>
  <c r="Q46" i="31"/>
  <c r="R46" i="31"/>
  <c r="S46" i="31"/>
  <c r="O47" i="31"/>
  <c r="P47" i="31"/>
  <c r="Q47" i="31"/>
  <c r="R47" i="31"/>
  <c r="S47" i="31"/>
  <c r="O48" i="31"/>
  <c r="P48" i="31"/>
  <c r="Q48" i="31"/>
  <c r="R48" i="31"/>
  <c r="S48" i="31"/>
  <c r="O51" i="31"/>
  <c r="P51" i="31"/>
  <c r="Q51" i="31"/>
  <c r="R51" i="31"/>
  <c r="S51" i="31"/>
  <c r="O52" i="31"/>
  <c r="P52" i="31"/>
  <c r="Q52" i="31"/>
  <c r="R52" i="31"/>
  <c r="S52" i="31"/>
  <c r="O54" i="31"/>
  <c r="P54" i="31"/>
  <c r="Q54" i="31"/>
  <c r="R54" i="31"/>
  <c r="S54" i="31"/>
  <c r="O55" i="31"/>
  <c r="P55" i="31"/>
  <c r="Q55" i="31"/>
  <c r="R55" i="31"/>
  <c r="S55" i="31"/>
  <c r="O56" i="31"/>
  <c r="P56" i="31"/>
  <c r="Q56" i="31"/>
  <c r="R56" i="31"/>
  <c r="S56" i="31"/>
  <c r="O57" i="31"/>
  <c r="P57" i="31"/>
  <c r="Q57" i="31"/>
  <c r="R57" i="31"/>
  <c r="S57" i="31"/>
  <c r="O59" i="31"/>
  <c r="P59" i="31"/>
  <c r="Q59" i="31"/>
  <c r="R59" i="31"/>
  <c r="S59" i="31"/>
  <c r="O60" i="31"/>
  <c r="P60" i="31"/>
  <c r="Q60" i="31"/>
  <c r="R60" i="31"/>
  <c r="S60" i="31"/>
  <c r="O61" i="31"/>
  <c r="P61" i="31"/>
  <c r="Q61" i="31"/>
  <c r="R61" i="31"/>
  <c r="S61" i="31"/>
  <c r="O62" i="31"/>
  <c r="P62" i="31"/>
  <c r="Q62" i="31"/>
  <c r="R62" i="31"/>
  <c r="S62" i="31"/>
  <c r="O13" i="31"/>
  <c r="P13" i="31"/>
  <c r="Q13" i="31"/>
  <c r="R13" i="31"/>
  <c r="S13" i="31"/>
  <c r="Y79" i="31"/>
  <c r="X79" i="31"/>
  <c r="W79" i="31"/>
  <c r="V79" i="31"/>
  <c r="U79" i="31"/>
  <c r="T72" i="31"/>
  <c r="T71" i="31"/>
  <c r="T79" i="31" s="1"/>
  <c r="T70" i="31"/>
  <c r="Y69" i="31"/>
  <c r="Y78" i="31" s="1"/>
  <c r="X69" i="31"/>
  <c r="X78" i="31" s="1"/>
  <c r="W69" i="31"/>
  <c r="W78" i="31" s="1"/>
  <c r="V69" i="31"/>
  <c r="V78" i="31" s="1"/>
  <c r="U69" i="31"/>
  <c r="T67" i="31"/>
  <c r="T62" i="31"/>
  <c r="T61" i="31"/>
  <c r="T60" i="31"/>
  <c r="T59" i="31"/>
  <c r="T56" i="31"/>
  <c r="T55" i="31"/>
  <c r="T54" i="31"/>
  <c r="T51" i="31"/>
  <c r="T49" i="31" s="1"/>
  <c r="T47" i="31"/>
  <c r="T46" i="31"/>
  <c r="T42" i="31"/>
  <c r="T40" i="31"/>
  <c r="T39" i="31"/>
  <c r="T38" i="31"/>
  <c r="T37" i="31"/>
  <c r="T36" i="31"/>
  <c r="T35" i="31"/>
  <c r="T34" i="31"/>
  <c r="T33" i="31"/>
  <c r="T29" i="31"/>
  <c r="T28" i="31"/>
  <c r="T27" i="31"/>
  <c r="T26" i="31"/>
  <c r="T25" i="31"/>
  <c r="T24" i="31"/>
  <c r="T23" i="31"/>
  <c r="T20" i="31"/>
  <c r="T19" i="31"/>
  <c r="T18" i="31"/>
  <c r="T16" i="31"/>
  <c r="T15" i="31"/>
  <c r="T14" i="31"/>
  <c r="T13" i="31"/>
  <c r="Y12" i="31"/>
  <c r="X12" i="31"/>
  <c r="W12" i="31"/>
  <c r="V12" i="31"/>
  <c r="U12" i="31"/>
  <c r="U78" i="31" l="1"/>
  <c r="T78" i="31" s="1"/>
  <c r="X8" i="31"/>
  <c r="Y11" i="31"/>
  <c r="Y76" i="31" s="1"/>
  <c r="Y80" i="31" s="1"/>
  <c r="V11" i="31"/>
  <c r="V76" i="31" s="1"/>
  <c r="X11" i="31"/>
  <c r="X76" i="31" s="1"/>
  <c r="X80" i="31" s="1"/>
  <c r="U11" i="31"/>
  <c r="U76" i="31" s="1"/>
  <c r="W11" i="31"/>
  <c r="W76" i="31" s="1"/>
  <c r="W80" i="31" s="1"/>
  <c r="T66" i="31"/>
  <c r="T17" i="31"/>
  <c r="T44" i="31"/>
  <c r="T53" i="31"/>
  <c r="T58" i="31"/>
  <c r="T77" i="31"/>
  <c r="T31" i="31"/>
  <c r="T69" i="31"/>
  <c r="N52" i="31"/>
  <c r="M52" i="31" s="1"/>
  <c r="N48" i="31"/>
  <c r="M48" i="31" s="1"/>
  <c r="N43" i="31"/>
  <c r="M43" i="31" s="1"/>
  <c r="T42" i="32" s="1"/>
  <c r="N62" i="31"/>
  <c r="N60" i="31"/>
  <c r="N57" i="31"/>
  <c r="M57" i="31" s="1"/>
  <c r="N56" i="31"/>
  <c r="N54" i="31"/>
  <c r="M54" i="31" s="1"/>
  <c r="N47" i="31"/>
  <c r="N46" i="31"/>
  <c r="N61" i="31"/>
  <c r="N59" i="31"/>
  <c r="N55" i="31"/>
  <c r="T46" i="32"/>
  <c r="N42" i="31"/>
  <c r="N40" i="31"/>
  <c r="N39" i="31"/>
  <c r="N38" i="31"/>
  <c r="N37" i="31"/>
  <c r="N36" i="31"/>
  <c r="M36" i="31" s="1"/>
  <c r="N35" i="31"/>
  <c r="N34" i="31"/>
  <c r="N33" i="31"/>
  <c r="M33" i="31" s="1"/>
  <c r="N29" i="31"/>
  <c r="M29" i="31" s="1"/>
  <c r="N28" i="31"/>
  <c r="M28" i="31" s="1"/>
  <c r="N27" i="31"/>
  <c r="M27" i="31" s="1"/>
  <c r="N26" i="31"/>
  <c r="M26" i="31" s="1"/>
  <c r="N25" i="31"/>
  <c r="M25" i="31" s="1"/>
  <c r="T22" i="31"/>
  <c r="N24" i="31"/>
  <c r="M24" i="31" s="1"/>
  <c r="N23" i="31"/>
  <c r="M23" i="31" s="1"/>
  <c r="N20" i="31"/>
  <c r="M20" i="31" s="1"/>
  <c r="N19" i="31"/>
  <c r="M19" i="31" s="1"/>
  <c r="N18" i="31"/>
  <c r="M18" i="31" s="1"/>
  <c r="N16" i="31"/>
  <c r="M16" i="31" s="1"/>
  <c r="N15" i="31"/>
  <c r="M15" i="31" s="1"/>
  <c r="T12" i="31"/>
  <c r="T81" i="31"/>
  <c r="N14" i="31"/>
  <c r="M14" i="31" s="1"/>
  <c r="N51" i="31"/>
  <c r="M63" i="32"/>
  <c r="O63" i="32"/>
  <c r="Q63" i="32"/>
  <c r="N64" i="32"/>
  <c r="P64" i="32"/>
  <c r="M65" i="32"/>
  <c r="O65" i="32"/>
  <c r="P65" i="32"/>
  <c r="M66" i="32"/>
  <c r="N66" i="32"/>
  <c r="O66" i="32"/>
  <c r="Q66" i="32"/>
  <c r="T67" i="32"/>
  <c r="N67" i="32"/>
  <c r="O67" i="32"/>
  <c r="P67" i="32"/>
  <c r="U68" i="32"/>
  <c r="M68" i="32" s="1"/>
  <c r="N68" i="32"/>
  <c r="O68" i="32"/>
  <c r="P68" i="32"/>
  <c r="U69" i="32"/>
  <c r="M69" i="32" s="1"/>
  <c r="N69" i="32"/>
  <c r="O69" i="32"/>
  <c r="P69" i="32"/>
  <c r="Q69" i="32"/>
  <c r="N70" i="32"/>
  <c r="O70" i="32"/>
  <c r="P70" i="32"/>
  <c r="U71" i="32"/>
  <c r="V71" i="32"/>
  <c r="W71" i="32"/>
  <c r="X71" i="32"/>
  <c r="Y71" i="32"/>
  <c r="U72" i="32"/>
  <c r="V72" i="32"/>
  <c r="W72" i="32"/>
  <c r="X72" i="32"/>
  <c r="Y72" i="32"/>
  <c r="U73" i="32"/>
  <c r="M73" i="32" s="1"/>
  <c r="V73" i="32"/>
  <c r="N73" i="32" s="1"/>
  <c r="W73" i="32"/>
  <c r="O73" i="32" s="1"/>
  <c r="X73" i="32"/>
  <c r="P73" i="32" s="1"/>
  <c r="Y73" i="32"/>
  <c r="Q73" i="32" s="1"/>
  <c r="T74" i="32"/>
  <c r="U74" i="32"/>
  <c r="M74" i="32" s="1"/>
  <c r="V74" i="32"/>
  <c r="N74" i="32" s="1"/>
  <c r="W74" i="32"/>
  <c r="O74" i="32" s="1"/>
  <c r="X74" i="32"/>
  <c r="P74" i="32" s="1"/>
  <c r="Y74" i="32"/>
  <c r="Q74" i="32" s="1"/>
  <c r="AA74" i="32"/>
  <c r="T75" i="32"/>
  <c r="U75" i="32"/>
  <c r="V75" i="32"/>
  <c r="N75" i="32" s="1"/>
  <c r="W75" i="32"/>
  <c r="O75" i="32" s="1"/>
  <c r="X75" i="32"/>
  <c r="P75" i="32" s="1"/>
  <c r="Y75" i="32"/>
  <c r="Q75" i="32" s="1"/>
  <c r="AA75" i="32"/>
  <c r="R75" i="32" s="1"/>
  <c r="T76" i="32"/>
  <c r="U76" i="32"/>
  <c r="M76" i="32" s="1"/>
  <c r="V76" i="32"/>
  <c r="N76" i="32" s="1"/>
  <c r="W76" i="32"/>
  <c r="O76" i="32" s="1"/>
  <c r="X76" i="32"/>
  <c r="P76" i="32" s="1"/>
  <c r="Y76" i="32"/>
  <c r="Q76" i="32" s="1"/>
  <c r="AA76" i="32"/>
  <c r="U77" i="32"/>
  <c r="M77" i="32" s="1"/>
  <c r="V77" i="32"/>
  <c r="N77" i="32" s="1"/>
  <c r="W77" i="32"/>
  <c r="O77" i="32" s="1"/>
  <c r="X77" i="32"/>
  <c r="P77" i="32" s="1"/>
  <c r="Y77" i="32"/>
  <c r="Q77" i="32" s="1"/>
  <c r="AA77" i="32"/>
  <c r="R77" i="32" s="1"/>
  <c r="U78" i="32"/>
  <c r="M78" i="32" s="1"/>
  <c r="V78" i="32"/>
  <c r="W78" i="32"/>
  <c r="O78" i="32" s="1"/>
  <c r="X78" i="32"/>
  <c r="P78" i="32" s="1"/>
  <c r="Y78" i="32"/>
  <c r="Q78" i="32" s="1"/>
  <c r="AA78" i="32"/>
  <c r="R78" i="32" s="1"/>
  <c r="U79" i="32"/>
  <c r="M79" i="32" s="1"/>
  <c r="V79" i="32"/>
  <c r="N79" i="32" s="1"/>
  <c r="W79" i="32"/>
  <c r="O79" i="32" s="1"/>
  <c r="X79" i="32"/>
  <c r="Y79" i="32"/>
  <c r="Q79" i="32" s="1"/>
  <c r="AA79" i="32"/>
  <c r="R79" i="32" s="1"/>
  <c r="U80" i="32"/>
  <c r="M80" i="32" s="1"/>
  <c r="V80" i="32"/>
  <c r="N80" i="32" s="1"/>
  <c r="W80" i="32"/>
  <c r="O80" i="32" s="1"/>
  <c r="X80" i="32"/>
  <c r="P80" i="32" s="1"/>
  <c r="Y80" i="32"/>
  <c r="Q80" i="32" s="1"/>
  <c r="AA80" i="32"/>
  <c r="U81" i="32"/>
  <c r="M81" i="32" s="1"/>
  <c r="V81" i="32"/>
  <c r="N81" i="32" s="1"/>
  <c r="W81" i="32"/>
  <c r="O81" i="32" s="1"/>
  <c r="X81" i="32"/>
  <c r="P81" i="32" s="1"/>
  <c r="Y81" i="32"/>
  <c r="Q81" i="32" s="1"/>
  <c r="AA81" i="32"/>
  <c r="R81" i="32" s="1"/>
  <c r="U82" i="32"/>
  <c r="M82" i="32" s="1"/>
  <c r="V82" i="32"/>
  <c r="W82" i="32"/>
  <c r="O82" i="32" s="1"/>
  <c r="X82" i="32"/>
  <c r="P82" i="32" s="1"/>
  <c r="Y82" i="32"/>
  <c r="Q82" i="32" s="1"/>
  <c r="AA82" i="32"/>
  <c r="R82" i="32" s="1"/>
  <c r="U83" i="32"/>
  <c r="M83" i="32" s="1"/>
  <c r="V83" i="32"/>
  <c r="N83" i="32" s="1"/>
  <c r="W83" i="32"/>
  <c r="O83" i="32" s="1"/>
  <c r="X83" i="32"/>
  <c r="Y83" i="32"/>
  <c r="Q83" i="32" s="1"/>
  <c r="AA83" i="32"/>
  <c r="R83" i="32" s="1"/>
  <c r="U84" i="32"/>
  <c r="M84" i="32" s="1"/>
  <c r="V84" i="32"/>
  <c r="N84" i="32" s="1"/>
  <c r="W84" i="32"/>
  <c r="O84" i="32" s="1"/>
  <c r="X84" i="32"/>
  <c r="Y84" i="32"/>
  <c r="Q84" i="32" s="1"/>
  <c r="AA84" i="32"/>
  <c r="R84" i="32" s="1"/>
  <c r="B43" i="32"/>
  <c r="C43" i="32"/>
  <c r="D43" i="32"/>
  <c r="E43" i="32"/>
  <c r="F43" i="32"/>
  <c r="G43" i="32"/>
  <c r="H43" i="32"/>
  <c r="S43" i="32"/>
  <c r="U43" i="32"/>
  <c r="M43" i="32" s="1"/>
  <c r="V43" i="32"/>
  <c r="N43" i="32" s="1"/>
  <c r="W43" i="32"/>
  <c r="O43" i="32" s="1"/>
  <c r="X43" i="32"/>
  <c r="P43" i="32" s="1"/>
  <c r="Y43" i="32"/>
  <c r="Q43" i="32" s="1"/>
  <c r="B44" i="32"/>
  <c r="C44" i="32"/>
  <c r="D44" i="32"/>
  <c r="E44" i="32"/>
  <c r="F44" i="32"/>
  <c r="G44" i="32"/>
  <c r="H44" i="32"/>
  <c r="S44" i="32"/>
  <c r="M44" i="32"/>
  <c r="N44" i="32"/>
  <c r="O44" i="32"/>
  <c r="P44" i="32"/>
  <c r="Q44" i="32"/>
  <c r="B45" i="32"/>
  <c r="C45" i="32"/>
  <c r="D45" i="32"/>
  <c r="E45" i="32"/>
  <c r="F45" i="32"/>
  <c r="G45" i="32"/>
  <c r="H45" i="32"/>
  <c r="S45" i="32"/>
  <c r="U45" i="32"/>
  <c r="M45" i="32" s="1"/>
  <c r="V45" i="32"/>
  <c r="N45" i="32" s="1"/>
  <c r="W45" i="32"/>
  <c r="O45" i="32" s="1"/>
  <c r="X45" i="32"/>
  <c r="P45" i="32" s="1"/>
  <c r="Y45" i="32"/>
  <c r="Q45" i="32" s="1"/>
  <c r="S46" i="32"/>
  <c r="U46" i="32"/>
  <c r="M46" i="32" s="1"/>
  <c r="V46" i="32"/>
  <c r="N46" i="32" s="1"/>
  <c r="W46" i="32"/>
  <c r="O46" i="32" s="1"/>
  <c r="X46" i="32"/>
  <c r="P46" i="32" s="1"/>
  <c r="Y46" i="32"/>
  <c r="Q46" i="32" s="1"/>
  <c r="B47" i="32"/>
  <c r="C47" i="32"/>
  <c r="D47" i="32"/>
  <c r="E47" i="32"/>
  <c r="F47" i="32"/>
  <c r="G47" i="32"/>
  <c r="H47" i="32"/>
  <c r="S47" i="32"/>
  <c r="U47" i="32"/>
  <c r="M47" i="32" s="1"/>
  <c r="V47" i="32"/>
  <c r="N47" i="32" s="1"/>
  <c r="W47" i="32"/>
  <c r="O47" i="32" s="1"/>
  <c r="X47" i="32"/>
  <c r="P47" i="32" s="1"/>
  <c r="Y47" i="32"/>
  <c r="Q47" i="32" s="1"/>
  <c r="B48" i="32"/>
  <c r="C48" i="32"/>
  <c r="D48" i="32"/>
  <c r="E48" i="32"/>
  <c r="F48" i="32"/>
  <c r="G48" i="32"/>
  <c r="H48" i="32"/>
  <c r="S48" i="32"/>
  <c r="V48" i="32"/>
  <c r="N48" i="32" s="1"/>
  <c r="B49" i="32"/>
  <c r="C49" i="32"/>
  <c r="D49" i="32"/>
  <c r="E49" i="32"/>
  <c r="F49" i="32"/>
  <c r="G49" i="32"/>
  <c r="H49" i="32"/>
  <c r="K49" i="32"/>
  <c r="S49" i="32"/>
  <c r="T49" i="32"/>
  <c r="U49" i="32"/>
  <c r="M49" i="32" s="1"/>
  <c r="V49" i="32"/>
  <c r="N49" i="32" s="1"/>
  <c r="W49" i="32"/>
  <c r="O49" i="32" s="1"/>
  <c r="X49" i="32"/>
  <c r="P49" i="32" s="1"/>
  <c r="Y49" i="32"/>
  <c r="Q49" i="32" s="1"/>
  <c r="AA49" i="32"/>
  <c r="R49" i="32" s="1"/>
  <c r="B50" i="32"/>
  <c r="C50" i="32"/>
  <c r="D50" i="32"/>
  <c r="E50" i="32"/>
  <c r="F50" i="32"/>
  <c r="G50" i="32"/>
  <c r="H50" i="32"/>
  <c r="S50" i="32"/>
  <c r="U50" i="32"/>
  <c r="M50" i="32" s="1"/>
  <c r="V50" i="32"/>
  <c r="N50" i="32" s="1"/>
  <c r="W50" i="32"/>
  <c r="O50" i="32" s="1"/>
  <c r="X50" i="32"/>
  <c r="P50" i="32" s="1"/>
  <c r="Y50" i="32"/>
  <c r="Q50" i="32" s="1"/>
  <c r="B51" i="32"/>
  <c r="C51" i="32"/>
  <c r="D51" i="32"/>
  <c r="E51" i="32"/>
  <c r="F51" i="32"/>
  <c r="G51" i="32"/>
  <c r="H51" i="32"/>
  <c r="S51" i="32"/>
  <c r="U51" i="32"/>
  <c r="M51" i="32" s="1"/>
  <c r="V51" i="32"/>
  <c r="N51" i="32" s="1"/>
  <c r="W51" i="32"/>
  <c r="O51" i="32" s="1"/>
  <c r="X51" i="32"/>
  <c r="P51" i="32" s="1"/>
  <c r="Y51" i="32"/>
  <c r="Q51" i="32" s="1"/>
  <c r="B52" i="32"/>
  <c r="C52" i="32"/>
  <c r="D52" i="32"/>
  <c r="E52" i="32"/>
  <c r="F52" i="32"/>
  <c r="G52" i="32"/>
  <c r="H52" i="32"/>
  <c r="S52" i="32"/>
  <c r="U52" i="32"/>
  <c r="M52" i="32" s="1"/>
  <c r="V52" i="32"/>
  <c r="N52" i="32" s="1"/>
  <c r="W52" i="32"/>
  <c r="O52" i="32" s="1"/>
  <c r="X52" i="32"/>
  <c r="P52" i="32" s="1"/>
  <c r="Y52" i="32"/>
  <c r="Q52" i="32" s="1"/>
  <c r="B53" i="32"/>
  <c r="C53" i="32"/>
  <c r="D53" i="32"/>
  <c r="E53" i="32"/>
  <c r="F53" i="32"/>
  <c r="G53" i="32"/>
  <c r="H53" i="32"/>
  <c r="S53" i="32"/>
  <c r="U53" i="32"/>
  <c r="M53" i="32" s="1"/>
  <c r="V53" i="32"/>
  <c r="N53" i="32" s="1"/>
  <c r="W53" i="32"/>
  <c r="O53" i="32" s="1"/>
  <c r="X53" i="32"/>
  <c r="P53" i="32" s="1"/>
  <c r="Y53" i="32"/>
  <c r="Q53" i="32" s="1"/>
  <c r="B54" i="32"/>
  <c r="C54" i="32"/>
  <c r="D54" i="32"/>
  <c r="E54" i="32"/>
  <c r="F54" i="32"/>
  <c r="G54" i="32"/>
  <c r="H54" i="32"/>
  <c r="S54" i="32"/>
  <c r="T54" i="32"/>
  <c r="U54" i="32"/>
  <c r="M54" i="32" s="1"/>
  <c r="V54" i="32"/>
  <c r="N54" i="32" s="1"/>
  <c r="W54" i="32"/>
  <c r="O54" i="32" s="1"/>
  <c r="X54" i="32"/>
  <c r="P54" i="32" s="1"/>
  <c r="Y54" i="32"/>
  <c r="Q54" i="32" s="1"/>
  <c r="AA54" i="32"/>
  <c r="R54" i="32" s="1"/>
  <c r="B55" i="32"/>
  <c r="C55" i="32"/>
  <c r="D55" i="32"/>
  <c r="E55" i="32"/>
  <c r="F55" i="32"/>
  <c r="G55" i="32"/>
  <c r="H55" i="32"/>
  <c r="K55" i="32"/>
  <c r="S55" i="32"/>
  <c r="U55" i="32"/>
  <c r="M55" i="32" s="1"/>
  <c r="L55" i="32" s="1"/>
  <c r="V55" i="32"/>
  <c r="N55" i="32" s="1"/>
  <c r="W55" i="32"/>
  <c r="O55" i="32" s="1"/>
  <c r="X55" i="32"/>
  <c r="P55" i="32" s="1"/>
  <c r="Y55" i="32"/>
  <c r="Q55" i="32" s="1"/>
  <c r="B56" i="32"/>
  <c r="C56" i="32"/>
  <c r="D56" i="32"/>
  <c r="E56" i="32"/>
  <c r="F56" i="32"/>
  <c r="G56" i="32"/>
  <c r="H56" i="32"/>
  <c r="S56" i="32"/>
  <c r="U56" i="32"/>
  <c r="M56" i="32" s="1"/>
  <c r="N56" i="32"/>
  <c r="W56" i="32"/>
  <c r="O56" i="32" s="1"/>
  <c r="X56" i="32"/>
  <c r="P56" i="32" s="1"/>
  <c r="Y56" i="32"/>
  <c r="Q56" i="32" s="1"/>
  <c r="R56" i="32"/>
  <c r="B57" i="32"/>
  <c r="C57" i="32"/>
  <c r="D57" i="32"/>
  <c r="E57" i="32"/>
  <c r="F57" i="32"/>
  <c r="G57" i="32"/>
  <c r="H57" i="32"/>
  <c r="S57" i="32"/>
  <c r="M57" i="32"/>
  <c r="N57" i="32"/>
  <c r="O57" i="32"/>
  <c r="P57" i="32"/>
  <c r="Q57" i="32"/>
  <c r="B63" i="32"/>
  <c r="C63" i="32"/>
  <c r="D63" i="32"/>
  <c r="E63" i="32"/>
  <c r="F63" i="32"/>
  <c r="G63" i="32"/>
  <c r="H63" i="32"/>
  <c r="S63" i="32"/>
  <c r="N63" i="32"/>
  <c r="P63" i="32"/>
  <c r="B64" i="32"/>
  <c r="C64" i="32"/>
  <c r="D64" i="32"/>
  <c r="E64" i="32"/>
  <c r="F64" i="32"/>
  <c r="G64" i="32"/>
  <c r="H64" i="32"/>
  <c r="S64" i="32"/>
  <c r="M64" i="32"/>
  <c r="O64" i="32"/>
  <c r="Q64" i="32"/>
  <c r="B65" i="32"/>
  <c r="C65" i="32"/>
  <c r="D65" i="32"/>
  <c r="E65" i="32"/>
  <c r="F65" i="32"/>
  <c r="G65" i="32"/>
  <c r="H65" i="32"/>
  <c r="S65" i="32"/>
  <c r="N65" i="32"/>
  <c r="Q65" i="32"/>
  <c r="B66" i="32"/>
  <c r="C66" i="32"/>
  <c r="D66" i="32"/>
  <c r="E66" i="32"/>
  <c r="F66" i="32"/>
  <c r="G66" i="32"/>
  <c r="H66" i="32"/>
  <c r="S66" i="32"/>
  <c r="P66" i="32"/>
  <c r="B67" i="32"/>
  <c r="C67" i="32"/>
  <c r="D67" i="32"/>
  <c r="E67" i="32"/>
  <c r="F67" i="32"/>
  <c r="G67" i="32"/>
  <c r="H67" i="32"/>
  <c r="S67" i="32"/>
  <c r="M67" i="32"/>
  <c r="Q67" i="32"/>
  <c r="B68" i="32"/>
  <c r="C68" i="32"/>
  <c r="D68" i="32"/>
  <c r="E68" i="32"/>
  <c r="F68" i="32"/>
  <c r="G68" i="32"/>
  <c r="H68" i="32"/>
  <c r="S68" i="32"/>
  <c r="Q68" i="32"/>
  <c r="B69" i="32"/>
  <c r="C69" i="32"/>
  <c r="D69" i="32"/>
  <c r="E69" i="32"/>
  <c r="F69" i="32"/>
  <c r="G69" i="32"/>
  <c r="H69" i="32"/>
  <c r="S69" i="32"/>
  <c r="B70" i="32"/>
  <c r="C70" i="32"/>
  <c r="D70" i="32"/>
  <c r="E70" i="32"/>
  <c r="F70" i="32"/>
  <c r="G70" i="32"/>
  <c r="H70" i="32"/>
  <c r="S70" i="32"/>
  <c r="M70" i="32"/>
  <c r="Q70" i="32"/>
  <c r="B71" i="32"/>
  <c r="C71" i="32"/>
  <c r="D71" i="32"/>
  <c r="E71" i="32"/>
  <c r="F71" i="32"/>
  <c r="G71" i="32"/>
  <c r="H71" i="32"/>
  <c r="S71" i="32"/>
  <c r="M71" i="32"/>
  <c r="N71" i="32"/>
  <c r="O71" i="32"/>
  <c r="P71" i="32"/>
  <c r="Q71" i="32"/>
  <c r="B72" i="32"/>
  <c r="C72" i="32"/>
  <c r="D72" i="32"/>
  <c r="S72" i="32"/>
  <c r="M72" i="32"/>
  <c r="N72" i="32"/>
  <c r="O72" i="32"/>
  <c r="P72" i="32"/>
  <c r="Q72" i="32"/>
  <c r="B73" i="32"/>
  <c r="C73" i="32"/>
  <c r="S73" i="32"/>
  <c r="B74" i="32"/>
  <c r="C74" i="32"/>
  <c r="D74" i="32"/>
  <c r="E74" i="32"/>
  <c r="F74" i="32"/>
  <c r="G74" i="32"/>
  <c r="H74" i="32"/>
  <c r="K74" i="32"/>
  <c r="S74" i="32"/>
  <c r="R74" i="32"/>
  <c r="B75" i="32"/>
  <c r="C75" i="32"/>
  <c r="D75" i="32"/>
  <c r="E75" i="32"/>
  <c r="F75" i="32"/>
  <c r="G75" i="32"/>
  <c r="H75" i="32"/>
  <c r="K75" i="32"/>
  <c r="S75" i="32"/>
  <c r="M75" i="32"/>
  <c r="B76" i="32"/>
  <c r="C76" i="32"/>
  <c r="D76" i="32"/>
  <c r="E76" i="32"/>
  <c r="F76" i="32"/>
  <c r="G76" i="32"/>
  <c r="H76" i="32"/>
  <c r="K76" i="32"/>
  <c r="S76" i="32"/>
  <c r="R76" i="32"/>
  <c r="B77" i="32"/>
  <c r="C77" i="32"/>
  <c r="D77" i="32"/>
  <c r="E77" i="32"/>
  <c r="F77" i="32"/>
  <c r="G77" i="32"/>
  <c r="H77" i="32"/>
  <c r="S77" i="32"/>
  <c r="B78" i="32"/>
  <c r="C78" i="32"/>
  <c r="D78" i="32"/>
  <c r="E78" i="32"/>
  <c r="F78" i="32"/>
  <c r="G78" i="32"/>
  <c r="H78" i="32"/>
  <c r="S78" i="32"/>
  <c r="N78" i="32"/>
  <c r="B79" i="32"/>
  <c r="C79" i="32"/>
  <c r="D79" i="32"/>
  <c r="E79" i="32"/>
  <c r="F79" i="32"/>
  <c r="G79" i="32"/>
  <c r="H79" i="32"/>
  <c r="S79" i="32"/>
  <c r="P79" i="32"/>
  <c r="B80" i="32"/>
  <c r="C80" i="32"/>
  <c r="D80" i="32"/>
  <c r="E80" i="32"/>
  <c r="F80" i="32"/>
  <c r="G80" i="32"/>
  <c r="H80" i="32"/>
  <c r="S80" i="32"/>
  <c r="R80" i="32"/>
  <c r="B81" i="32"/>
  <c r="C81" i="32"/>
  <c r="D81" i="32"/>
  <c r="E81" i="32"/>
  <c r="F81" i="32"/>
  <c r="G81" i="32"/>
  <c r="H81" i="32"/>
  <c r="S81" i="32"/>
  <c r="B82" i="32"/>
  <c r="C82" i="32"/>
  <c r="D82" i="32"/>
  <c r="E82" i="32"/>
  <c r="F82" i="32"/>
  <c r="G82" i="32"/>
  <c r="H82" i="32"/>
  <c r="S82" i="32"/>
  <c r="N82" i="32"/>
  <c r="B83" i="32"/>
  <c r="C83" i="32"/>
  <c r="D83" i="32"/>
  <c r="E83" i="32"/>
  <c r="F83" i="32"/>
  <c r="G83" i="32"/>
  <c r="H83" i="32"/>
  <c r="S83" i="32"/>
  <c r="P83" i="32"/>
  <c r="B84" i="32"/>
  <c r="C84" i="32"/>
  <c r="D84" i="32"/>
  <c r="E84" i="32"/>
  <c r="F84" i="32"/>
  <c r="G84" i="32"/>
  <c r="H84" i="32"/>
  <c r="K84" i="32"/>
  <c r="S84" i="32"/>
  <c r="P84" i="32"/>
  <c r="S32" i="32"/>
  <c r="U32" i="32"/>
  <c r="M32" i="32" s="1"/>
  <c r="V32" i="32"/>
  <c r="N32" i="32" s="1"/>
  <c r="W32" i="32"/>
  <c r="O32" i="32" s="1"/>
  <c r="X32" i="32"/>
  <c r="P32" i="32" s="1"/>
  <c r="Y32" i="32"/>
  <c r="Q32" i="32" s="1"/>
  <c r="S33" i="32"/>
  <c r="U33" i="32"/>
  <c r="M33" i="32" s="1"/>
  <c r="V33" i="32"/>
  <c r="N33" i="32" s="1"/>
  <c r="W33" i="32"/>
  <c r="O33" i="32" s="1"/>
  <c r="X33" i="32"/>
  <c r="P33" i="32" s="1"/>
  <c r="Y33" i="32"/>
  <c r="Q33" i="32" s="1"/>
  <c r="S34" i="32"/>
  <c r="T34" i="32"/>
  <c r="U34" i="32"/>
  <c r="M34" i="32" s="1"/>
  <c r="V34" i="32"/>
  <c r="N34" i="32" s="1"/>
  <c r="W34" i="32"/>
  <c r="O34" i="32" s="1"/>
  <c r="X34" i="32"/>
  <c r="P34" i="32" s="1"/>
  <c r="Y34" i="32"/>
  <c r="Q34" i="32" s="1"/>
  <c r="S35" i="32"/>
  <c r="U35" i="32"/>
  <c r="M35" i="32" s="1"/>
  <c r="V35" i="32"/>
  <c r="N35" i="32" s="1"/>
  <c r="W35" i="32"/>
  <c r="O35" i="32" s="1"/>
  <c r="X35" i="32"/>
  <c r="P35" i="32" s="1"/>
  <c r="Y35" i="32"/>
  <c r="Q35" i="32" s="1"/>
  <c r="S36" i="32"/>
  <c r="U36" i="32"/>
  <c r="M36" i="32" s="1"/>
  <c r="V36" i="32"/>
  <c r="N36" i="32" s="1"/>
  <c r="W36" i="32"/>
  <c r="O36" i="32" s="1"/>
  <c r="X36" i="32"/>
  <c r="P36" i="32" s="1"/>
  <c r="Y36" i="32"/>
  <c r="Q36" i="32" s="1"/>
  <c r="B41" i="32"/>
  <c r="C41" i="32"/>
  <c r="D41" i="32"/>
  <c r="E41" i="32"/>
  <c r="F41" i="32"/>
  <c r="G41" i="32"/>
  <c r="H41" i="32"/>
  <c r="S41" i="32"/>
  <c r="T41" i="32"/>
  <c r="U41" i="32"/>
  <c r="M41" i="32" s="1"/>
  <c r="V41" i="32"/>
  <c r="N41" i="32" s="1"/>
  <c r="W41" i="32"/>
  <c r="O41" i="32" s="1"/>
  <c r="X41" i="32"/>
  <c r="P41" i="32" s="1"/>
  <c r="Y41" i="32"/>
  <c r="Q41" i="32" s="1"/>
  <c r="K42" i="32"/>
  <c r="S42" i="32"/>
  <c r="U42" i="32"/>
  <c r="M42" i="32" s="1"/>
  <c r="V42" i="32"/>
  <c r="N42" i="32" s="1"/>
  <c r="W42" i="32"/>
  <c r="O42" i="32" s="1"/>
  <c r="X42" i="32"/>
  <c r="P42" i="32" s="1"/>
  <c r="Y42" i="32"/>
  <c r="Q42" i="32" s="1"/>
  <c r="AA42" i="32"/>
  <c r="R42" i="32" s="1"/>
  <c r="AY68" i="31"/>
  <c r="AZ68" i="31"/>
  <c r="AA65" i="32"/>
  <c r="R65" i="32" s="1"/>
  <c r="AA66" i="32"/>
  <c r="R66" i="32" s="1"/>
  <c r="AA67" i="32"/>
  <c r="R67" i="32" s="1"/>
  <c r="L43" i="31"/>
  <c r="L48" i="31"/>
  <c r="L52" i="31"/>
  <c r="A71" i="31"/>
  <c r="B71" i="31"/>
  <c r="AA73" i="32" s="1"/>
  <c r="R73" i="32" s="1"/>
  <c r="A70" i="31"/>
  <c r="B70" i="31"/>
  <c r="AA72" i="32" s="1"/>
  <c r="R72" i="32" s="1"/>
  <c r="A68" i="31"/>
  <c r="B68" i="31"/>
  <c r="AA70" i="32" s="1"/>
  <c r="R70" i="32" s="1"/>
  <c r="K48" i="31"/>
  <c r="K52" i="31"/>
  <c r="K43" i="31"/>
  <c r="BV85" i="29"/>
  <c r="BN85" i="29"/>
  <c r="BH85" i="29"/>
  <c r="BB85" i="29"/>
  <c r="AV85" i="29"/>
  <c r="AP85" i="29"/>
  <c r="AJ85" i="29"/>
  <c r="AD85" i="29"/>
  <c r="X85" i="29"/>
  <c r="R85" i="29"/>
  <c r="Q85" i="29"/>
  <c r="P85" i="29"/>
  <c r="O85" i="29"/>
  <c r="N85" i="29"/>
  <c r="M85" i="29"/>
  <c r="U80" i="31" l="1"/>
  <c r="M51" i="31"/>
  <c r="T48" i="32" s="1"/>
  <c r="M34" i="31"/>
  <c r="T32" i="32" s="1"/>
  <c r="M38" i="31"/>
  <c r="T36" i="32" s="1"/>
  <c r="M40" i="31"/>
  <c r="T38" i="32" s="1"/>
  <c r="M59" i="31"/>
  <c r="T57" i="32" s="1"/>
  <c r="M46" i="31"/>
  <c r="T44" i="32" s="1"/>
  <c r="M62" i="31"/>
  <c r="T60" i="32" s="1"/>
  <c r="M35" i="31"/>
  <c r="T33" i="32" s="1"/>
  <c r="M37" i="31"/>
  <c r="T35" i="32" s="1"/>
  <c r="M39" i="31"/>
  <c r="T37" i="32" s="1"/>
  <c r="M42" i="31"/>
  <c r="T40" i="32" s="1"/>
  <c r="M55" i="31"/>
  <c r="T52" i="32" s="1"/>
  <c r="M61" i="31"/>
  <c r="T59" i="32" s="1"/>
  <c r="M47" i="31"/>
  <c r="T45" i="32" s="1"/>
  <c r="M56" i="31"/>
  <c r="T53" i="32" s="1"/>
  <c r="M60" i="31"/>
  <c r="T58" i="32" s="1"/>
  <c r="T65" i="32"/>
  <c r="V80" i="31"/>
  <c r="T84" i="31"/>
  <c r="T30" i="31"/>
  <c r="T21" i="31" s="1"/>
  <c r="T11" i="31" s="1"/>
  <c r="L85" i="29"/>
  <c r="K85" i="29" s="1"/>
  <c r="T76" i="31"/>
  <c r="T80" i="31" s="1"/>
  <c r="T83" i="31" s="1"/>
  <c r="L84" i="32"/>
  <c r="L83" i="32"/>
  <c r="L82" i="32"/>
  <c r="L81" i="32"/>
  <c r="L80" i="32"/>
  <c r="L79" i="32"/>
  <c r="L78" i="32"/>
  <c r="L77" i="32"/>
  <c r="L76" i="32"/>
  <c r="L75" i="32"/>
  <c r="L74" i="32"/>
  <c r="L73" i="32"/>
  <c r="L72" i="32"/>
  <c r="L71" i="32"/>
  <c r="L70" i="32"/>
  <c r="L69" i="32"/>
  <c r="L68" i="32"/>
  <c r="L67" i="32"/>
  <c r="L66" i="32"/>
  <c r="L65" i="32"/>
  <c r="L64" i="32"/>
  <c r="L63" i="32"/>
  <c r="L57" i="32"/>
  <c r="L56" i="32"/>
  <c r="L54" i="32"/>
  <c r="L53" i="32"/>
  <c r="L52" i="32"/>
  <c r="L51" i="32"/>
  <c r="L50" i="32"/>
  <c r="L49" i="32"/>
  <c r="L47" i="32"/>
  <c r="L46" i="32"/>
  <c r="L45" i="32"/>
  <c r="L44" i="32"/>
  <c r="L43" i="32"/>
  <c r="L42" i="32"/>
  <c r="L41" i="32"/>
  <c r="L36" i="32"/>
  <c r="L35" i="32"/>
  <c r="L34" i="32"/>
  <c r="L33" i="32"/>
  <c r="L32" i="32"/>
  <c r="K65" i="32" l="1"/>
  <c r="BB93" i="29"/>
  <c r="D140" i="29" l="1"/>
  <c r="L68" i="31"/>
  <c r="BH93" i="29"/>
  <c r="S23" i="32" l="1"/>
  <c r="U23" i="32"/>
  <c r="M23" i="32" s="1"/>
  <c r="V23" i="32"/>
  <c r="N23" i="32" s="1"/>
  <c r="W23" i="32"/>
  <c r="O23" i="32" s="1"/>
  <c r="X23" i="32"/>
  <c r="P23" i="32" s="1"/>
  <c r="Y23" i="32"/>
  <c r="Q23" i="32" s="1"/>
  <c r="S24" i="32"/>
  <c r="U24" i="32"/>
  <c r="M24" i="32" s="1"/>
  <c r="V24" i="32"/>
  <c r="N24" i="32" s="1"/>
  <c r="W24" i="32"/>
  <c r="O24" i="32" s="1"/>
  <c r="X24" i="32"/>
  <c r="P24" i="32" s="1"/>
  <c r="Y24" i="32"/>
  <c r="Q24" i="32" s="1"/>
  <c r="S25" i="32"/>
  <c r="U25" i="32"/>
  <c r="M25" i="32" s="1"/>
  <c r="V25" i="32"/>
  <c r="N25" i="32" s="1"/>
  <c r="W25" i="32"/>
  <c r="O25" i="32" s="1"/>
  <c r="X25" i="32"/>
  <c r="P25" i="32" s="1"/>
  <c r="Y25" i="32"/>
  <c r="Q25" i="32" s="1"/>
  <c r="S26" i="32"/>
  <c r="U26" i="32"/>
  <c r="M26" i="32" s="1"/>
  <c r="V26" i="32"/>
  <c r="N26" i="32" s="1"/>
  <c r="W26" i="32"/>
  <c r="O26" i="32" s="1"/>
  <c r="X26" i="32"/>
  <c r="P26" i="32" s="1"/>
  <c r="Y26" i="32"/>
  <c r="Q26" i="32" s="1"/>
  <c r="S27" i="32"/>
  <c r="U27" i="32"/>
  <c r="M27" i="32" s="1"/>
  <c r="V27" i="32"/>
  <c r="N27" i="32" s="1"/>
  <c r="W27" i="32"/>
  <c r="O27" i="32" s="1"/>
  <c r="X27" i="32"/>
  <c r="P27" i="32" s="1"/>
  <c r="Y27" i="32"/>
  <c r="Q27" i="32" s="1"/>
  <c r="S28" i="32"/>
  <c r="U28" i="32"/>
  <c r="M28" i="32" s="1"/>
  <c r="V28" i="32"/>
  <c r="N28" i="32" s="1"/>
  <c r="W28" i="32"/>
  <c r="O28" i="32" s="1"/>
  <c r="X28" i="32"/>
  <c r="P28" i="32" s="1"/>
  <c r="Y28" i="32"/>
  <c r="Q28" i="32" s="1"/>
  <c r="B29" i="32"/>
  <c r="C29" i="32"/>
  <c r="D29" i="32"/>
  <c r="E29" i="32"/>
  <c r="F29" i="32"/>
  <c r="G29" i="32"/>
  <c r="H29" i="32"/>
  <c r="S29" i="32"/>
  <c r="U29" i="32"/>
  <c r="M29" i="32" s="1"/>
  <c r="V29" i="32"/>
  <c r="N29" i="32" s="1"/>
  <c r="W29" i="32"/>
  <c r="O29" i="32" s="1"/>
  <c r="X29" i="32"/>
  <c r="P29" i="32" s="1"/>
  <c r="Y29" i="32"/>
  <c r="Q29" i="32" s="1"/>
  <c r="B30" i="32"/>
  <c r="C30" i="32"/>
  <c r="D30" i="32"/>
  <c r="E30" i="32"/>
  <c r="F30" i="32"/>
  <c r="G30" i="32"/>
  <c r="H30" i="32"/>
  <c r="S30" i="32"/>
  <c r="U30" i="32"/>
  <c r="M30" i="32" s="1"/>
  <c r="V30" i="32"/>
  <c r="N30" i="32" s="1"/>
  <c r="W30" i="32"/>
  <c r="O30" i="32" s="1"/>
  <c r="X30" i="32"/>
  <c r="P30" i="32" s="1"/>
  <c r="Y30" i="32"/>
  <c r="Q30" i="32" s="1"/>
  <c r="S31" i="32"/>
  <c r="U31" i="32"/>
  <c r="M31" i="32" s="1"/>
  <c r="V31" i="32"/>
  <c r="N31" i="32" s="1"/>
  <c r="W31" i="32"/>
  <c r="O31" i="32" s="1"/>
  <c r="X31" i="32"/>
  <c r="P31" i="32" s="1"/>
  <c r="Y31" i="32"/>
  <c r="Q31" i="32" s="1"/>
  <c r="M74" i="29"/>
  <c r="N74" i="29"/>
  <c r="O74" i="29"/>
  <c r="P74" i="29"/>
  <c r="Q74" i="29"/>
  <c r="R74" i="29"/>
  <c r="X74" i="29"/>
  <c r="AD74" i="29"/>
  <c r="AJ74" i="29"/>
  <c r="AP74" i="29"/>
  <c r="AV74" i="29"/>
  <c r="BB74" i="29"/>
  <c r="AY60" i="31"/>
  <c r="AZ60" i="31"/>
  <c r="AY61" i="31"/>
  <c r="AZ61" i="31"/>
  <c r="AY62" i="31"/>
  <c r="AZ62" i="31"/>
  <c r="AZ59" i="31"/>
  <c r="AY59" i="31"/>
  <c r="AZ56" i="31"/>
  <c r="AY56" i="31"/>
  <c r="AZ55" i="31"/>
  <c r="AY55" i="31"/>
  <c r="AZ54" i="31"/>
  <c r="AY54" i="31"/>
  <c r="AZ51" i="31"/>
  <c r="AY51" i="31"/>
  <c r="AZ47" i="31"/>
  <c r="AY47" i="31"/>
  <c r="AZ46" i="31"/>
  <c r="AY46" i="31"/>
  <c r="AZ42" i="31"/>
  <c r="AY42" i="31"/>
  <c r="AZ40" i="31"/>
  <c r="AY40" i="31"/>
  <c r="AZ39" i="31"/>
  <c r="AY39" i="31"/>
  <c r="AZ38" i="31"/>
  <c r="AY38" i="31"/>
  <c r="AZ37" i="31"/>
  <c r="AY37" i="31"/>
  <c r="AZ36" i="31"/>
  <c r="AY36" i="31"/>
  <c r="AZ35" i="31"/>
  <c r="AY35" i="31"/>
  <c r="AZ34" i="31"/>
  <c r="AY34" i="31"/>
  <c r="AZ33" i="31"/>
  <c r="AY33" i="31"/>
  <c r="AZ29" i="31"/>
  <c r="AY29" i="31"/>
  <c r="AZ28" i="31"/>
  <c r="AY28" i="31"/>
  <c r="AZ27" i="31"/>
  <c r="AY27" i="31"/>
  <c r="AZ26" i="31"/>
  <c r="AY26" i="31"/>
  <c r="AZ25" i="31"/>
  <c r="AY25" i="31"/>
  <c r="AZ24" i="31"/>
  <c r="AY24" i="31"/>
  <c r="AZ23" i="31"/>
  <c r="AY23" i="31"/>
  <c r="AZ20" i="31"/>
  <c r="AY20" i="31"/>
  <c r="AZ19" i="31"/>
  <c r="AY19" i="31"/>
  <c r="AZ18" i="31"/>
  <c r="AY18" i="31"/>
  <c r="AY14" i="31"/>
  <c r="AZ14" i="31"/>
  <c r="AY15" i="31"/>
  <c r="AZ15" i="31"/>
  <c r="AY16" i="31"/>
  <c r="AZ16" i="31"/>
  <c r="AZ13" i="31"/>
  <c r="AY13" i="31"/>
  <c r="AY17" i="31"/>
  <c r="AZ17" i="31"/>
  <c r="AY21" i="31"/>
  <c r="AZ21" i="31"/>
  <c r="AY22" i="31"/>
  <c r="AZ22" i="31"/>
  <c r="AY30" i="31"/>
  <c r="AZ30" i="31"/>
  <c r="AY31" i="31"/>
  <c r="AZ31" i="31"/>
  <c r="AY44" i="31"/>
  <c r="AZ44" i="31"/>
  <c r="AY49" i="31"/>
  <c r="AZ49" i="31"/>
  <c r="AY53" i="31"/>
  <c r="AZ53" i="31"/>
  <c r="AY58" i="31"/>
  <c r="AZ58" i="31"/>
  <c r="AZ66" i="31"/>
  <c r="AY67" i="31"/>
  <c r="AZ67" i="31"/>
  <c r="AY69" i="31"/>
  <c r="AZ69" i="31"/>
  <c r="AY70" i="31"/>
  <c r="AZ70" i="31"/>
  <c r="AY71" i="31"/>
  <c r="AZ71" i="31"/>
  <c r="AA41" i="32"/>
  <c r="R41" i="32" s="1"/>
  <c r="A40" i="31"/>
  <c r="B40" i="31"/>
  <c r="AA38" i="32" s="1"/>
  <c r="R38" i="32" s="1"/>
  <c r="A42" i="31"/>
  <c r="B42" i="31"/>
  <c r="AA40" i="32" s="1"/>
  <c r="R40" i="32" s="1"/>
  <c r="A34" i="31"/>
  <c r="B34" i="31"/>
  <c r="AA32" i="32" s="1"/>
  <c r="R32" i="32" s="1"/>
  <c r="A35" i="31"/>
  <c r="B35" i="31"/>
  <c r="AA33" i="32" s="1"/>
  <c r="R33" i="32" s="1"/>
  <c r="A36" i="31"/>
  <c r="B36" i="31"/>
  <c r="AA34" i="32" s="1"/>
  <c r="R34" i="32" s="1"/>
  <c r="A37" i="31"/>
  <c r="B37" i="31"/>
  <c r="AA35" i="32" s="1"/>
  <c r="R35" i="32" s="1"/>
  <c r="A38" i="31"/>
  <c r="B38" i="31"/>
  <c r="AA36" i="32" s="1"/>
  <c r="R36" i="32" s="1"/>
  <c r="A39" i="31"/>
  <c r="B39" i="31"/>
  <c r="AA37" i="32" s="1"/>
  <c r="R37" i="32" s="1"/>
  <c r="A47" i="31"/>
  <c r="B47" i="31"/>
  <c r="AA45" i="32" s="1"/>
  <c r="R45" i="32" s="1"/>
  <c r="AA46" i="32"/>
  <c r="R46" i="32" s="1"/>
  <c r="C51" i="31"/>
  <c r="D51" i="31"/>
  <c r="AP85" i="31" s="1"/>
  <c r="G51" i="31"/>
  <c r="T87" i="31" s="1"/>
  <c r="A51" i="31"/>
  <c r="B51" i="31"/>
  <c r="AA48" i="32" s="1"/>
  <c r="R48" i="32" s="1"/>
  <c r="A55" i="31"/>
  <c r="B55" i="31"/>
  <c r="AA52" i="32" s="1"/>
  <c r="R52" i="32" s="1"/>
  <c r="A56" i="31"/>
  <c r="B56" i="31"/>
  <c r="AA53" i="32" s="1"/>
  <c r="R53" i="32" s="1"/>
  <c r="AR55" i="31"/>
  <c r="AR56" i="31"/>
  <c r="A67" i="31"/>
  <c r="B67" i="31"/>
  <c r="AA69" i="32" s="1"/>
  <c r="R69" i="32" s="1"/>
  <c r="F58" i="24"/>
  <c r="AP86" i="31" l="1"/>
  <c r="AJ86" i="31"/>
  <c r="AD86" i="31"/>
  <c r="T86" i="31"/>
  <c r="AL86" i="31"/>
  <c r="AF86" i="31"/>
  <c r="Z86" i="31"/>
  <c r="X86" i="31"/>
  <c r="Y48" i="32"/>
  <c r="Q48" i="32" s="1"/>
  <c r="AF88" i="31"/>
  <c r="Z88" i="31"/>
  <c r="AL88" i="31"/>
  <c r="T88" i="31"/>
  <c r="K70" i="32"/>
  <c r="X48" i="32"/>
  <c r="P48" i="32" s="1"/>
  <c r="W48" i="32"/>
  <c r="O48" i="32" s="1"/>
  <c r="U48" i="32"/>
  <c r="M48" i="32" s="1"/>
  <c r="X85" i="31"/>
  <c r="T85" i="31"/>
  <c r="L74" i="29"/>
  <c r="L31" i="32"/>
  <c r="L30" i="32"/>
  <c r="L29" i="32"/>
  <c r="L28" i="32"/>
  <c r="L27" i="32"/>
  <c r="L26" i="32"/>
  <c r="L25" i="32"/>
  <c r="L24" i="32"/>
  <c r="L23" i="32"/>
  <c r="M87" i="29"/>
  <c r="N87" i="29"/>
  <c r="O87" i="29"/>
  <c r="P87" i="29"/>
  <c r="Q87" i="29"/>
  <c r="R87" i="29"/>
  <c r="X87" i="29"/>
  <c r="AD87" i="29"/>
  <c r="AJ87" i="29"/>
  <c r="AP87" i="29"/>
  <c r="AV87" i="29"/>
  <c r="BB87" i="29"/>
  <c r="M86" i="31" l="1"/>
  <c r="R86" i="31"/>
  <c r="M88" i="31"/>
  <c r="L48" i="32"/>
  <c r="K74" i="29"/>
  <c r="L57" i="31"/>
  <c r="L87" i="29"/>
  <c r="K87" i="29" l="1"/>
  <c r="K57" i="31"/>
  <c r="K54" i="32"/>
  <c r="M73" i="29"/>
  <c r="N73" i="29"/>
  <c r="O73" i="29"/>
  <c r="P73" i="29"/>
  <c r="Q73" i="29"/>
  <c r="R73" i="29"/>
  <c r="X73" i="29"/>
  <c r="AD73" i="29"/>
  <c r="AJ73" i="29"/>
  <c r="AP73" i="29"/>
  <c r="AV73" i="29"/>
  <c r="BB73" i="29"/>
  <c r="BV72" i="29"/>
  <c r="BN72" i="29"/>
  <c r="BB72" i="29"/>
  <c r="AV72" i="29"/>
  <c r="AP72" i="29"/>
  <c r="AJ72" i="29"/>
  <c r="AD72" i="29"/>
  <c r="X72" i="29"/>
  <c r="R72" i="29"/>
  <c r="Q72" i="29"/>
  <c r="P72" i="29"/>
  <c r="O72" i="29"/>
  <c r="N72" i="29"/>
  <c r="M72" i="29"/>
  <c r="K67" i="32" l="1"/>
  <c r="L73" i="29"/>
  <c r="L72" i="29"/>
  <c r="BB68" i="29"/>
  <c r="AV68" i="29"/>
  <c r="AP68" i="29"/>
  <c r="AJ68" i="29"/>
  <c r="AD68" i="29"/>
  <c r="X68" i="29"/>
  <c r="R68" i="29"/>
  <c r="M68" i="29"/>
  <c r="O68" i="29"/>
  <c r="P68" i="29"/>
  <c r="Q68" i="29"/>
  <c r="K41" i="32" l="1"/>
  <c r="K73" i="29"/>
  <c r="K53" i="32" s="1"/>
  <c r="L56" i="31"/>
  <c r="J56" i="31" s="1"/>
  <c r="K72" i="29"/>
  <c r="K52" i="32" s="1"/>
  <c r="L55" i="31"/>
  <c r="J55" i="31" s="1"/>
  <c r="L68" i="29"/>
  <c r="K55" i="31" l="1"/>
  <c r="I55" i="31" s="1"/>
  <c r="K56" i="31"/>
  <c r="I56" i="31" s="1"/>
  <c r="K68" i="29"/>
  <c r="L51" i="31"/>
  <c r="J51" i="31" s="1"/>
  <c r="R71" i="29"/>
  <c r="X71" i="29"/>
  <c r="AD71" i="29"/>
  <c r="M64" i="29"/>
  <c r="N64" i="29"/>
  <c r="O64" i="29"/>
  <c r="P64" i="29"/>
  <c r="Q64" i="29"/>
  <c r="P63" i="29"/>
  <c r="O63" i="29"/>
  <c r="P86" i="29"/>
  <c r="O86" i="29"/>
  <c r="K48" i="32" l="1"/>
  <c r="K51" i="31"/>
  <c r="I51" i="31" s="1"/>
  <c r="L64" i="29"/>
  <c r="BB64" i="29"/>
  <c r="BB63" i="29"/>
  <c r="BB56" i="29"/>
  <c r="BB57" i="29"/>
  <c r="AV56" i="29"/>
  <c r="AV57" i="29"/>
  <c r="AP56" i="29"/>
  <c r="AP57" i="29"/>
  <c r="AJ56" i="29"/>
  <c r="AJ57" i="29"/>
  <c r="AD56" i="29"/>
  <c r="AD57" i="29"/>
  <c r="X56" i="29"/>
  <c r="X57" i="29"/>
  <c r="R56" i="29"/>
  <c r="R57" i="29"/>
  <c r="M56" i="29"/>
  <c r="N56" i="29"/>
  <c r="O56" i="29"/>
  <c r="P56" i="29"/>
  <c r="Q56" i="29"/>
  <c r="M57" i="29"/>
  <c r="N57" i="29"/>
  <c r="O57" i="29"/>
  <c r="P57" i="29"/>
  <c r="Q57" i="29"/>
  <c r="K64" i="29" l="1"/>
  <c r="K45" i="32" s="1"/>
  <c r="L47" i="31"/>
  <c r="J47" i="31" s="1"/>
  <c r="L57" i="29"/>
  <c r="L56" i="29"/>
  <c r="X12" i="32"/>
  <c r="AJ63" i="29"/>
  <c r="AJ64" i="29"/>
  <c r="AV64" i="29"/>
  <c r="AD88" i="29"/>
  <c r="R84" i="29"/>
  <c r="R86" i="29"/>
  <c r="R88" i="29"/>
  <c r="R89" i="29"/>
  <c r="R90" i="29"/>
  <c r="X86" i="29"/>
  <c r="X88" i="29"/>
  <c r="X89" i="29"/>
  <c r="X90" i="29"/>
  <c r="BB86" i="29"/>
  <c r="BB88" i="29"/>
  <c r="BB89" i="29"/>
  <c r="AV86" i="29"/>
  <c r="AV88" i="29"/>
  <c r="AV89" i="29"/>
  <c r="AV90" i="29"/>
  <c r="AP86" i="29"/>
  <c r="AP88" i="29"/>
  <c r="AP89" i="29"/>
  <c r="AP90" i="29"/>
  <c r="BH90" i="29"/>
  <c r="BH89" i="29"/>
  <c r="BH86" i="29"/>
  <c r="BE91" i="29"/>
  <c r="BD91" i="29"/>
  <c r="BC91" i="29"/>
  <c r="BA91" i="29"/>
  <c r="AZ91" i="29"/>
  <c r="AY91" i="29"/>
  <c r="AX91" i="29"/>
  <c r="AW91" i="29"/>
  <c r="AU91" i="29"/>
  <c r="AT91" i="29"/>
  <c r="AS91" i="29"/>
  <c r="AR91" i="29"/>
  <c r="AQ91" i="29"/>
  <c r="AO91" i="29"/>
  <c r="AN91" i="29"/>
  <c r="AM91" i="29"/>
  <c r="AL91" i="29"/>
  <c r="AK91" i="29"/>
  <c r="AI91" i="29"/>
  <c r="AH91" i="29"/>
  <c r="AG91" i="29"/>
  <c r="AF91" i="29"/>
  <c r="AE91" i="29"/>
  <c r="AC91" i="29"/>
  <c r="AB91" i="29"/>
  <c r="AA91" i="29"/>
  <c r="Z91" i="29"/>
  <c r="Y91" i="29"/>
  <c r="V91" i="29"/>
  <c r="W91" i="29"/>
  <c r="U91" i="29"/>
  <c r="T91" i="29"/>
  <c r="S91" i="29"/>
  <c r="AJ96" i="29"/>
  <c r="AJ95" i="29"/>
  <c r="AD95" i="29"/>
  <c r="AD90" i="29"/>
  <c r="AD89" i="29"/>
  <c r="AD86" i="29"/>
  <c r="B24" i="31"/>
  <c r="AA23" i="32" s="1"/>
  <c r="R23" i="32" s="1"/>
  <c r="B13" i="31"/>
  <c r="B14" i="31"/>
  <c r="K57" i="29" l="1"/>
  <c r="K38" i="32" s="1"/>
  <c r="L40" i="31"/>
  <c r="J40" i="31" s="1"/>
  <c r="K56" i="29"/>
  <c r="K37" i="32" s="1"/>
  <c r="L39" i="31"/>
  <c r="J39" i="31" s="1"/>
  <c r="L42" i="31"/>
  <c r="J42" i="31" s="1"/>
  <c r="K47" i="31"/>
  <c r="I47" i="31" s="1"/>
  <c r="U13" i="32"/>
  <c r="M13" i="32" s="1"/>
  <c r="V13" i="32"/>
  <c r="N13" i="32" s="1"/>
  <c r="W13" i="32"/>
  <c r="X13" i="32"/>
  <c r="P13" i="32" s="1"/>
  <c r="Y13" i="32"/>
  <c r="AA13" i="32"/>
  <c r="R13" i="32" s="1"/>
  <c r="U14" i="32"/>
  <c r="M14" i="32" s="1"/>
  <c r="V14" i="32"/>
  <c r="N14" i="32" s="1"/>
  <c r="W14" i="32"/>
  <c r="X14" i="32"/>
  <c r="P14" i="32" s="1"/>
  <c r="Y14" i="32"/>
  <c r="Q14" i="32" s="1"/>
  <c r="U15" i="32"/>
  <c r="M15" i="32" s="1"/>
  <c r="V15" i="32"/>
  <c r="N15" i="32" s="1"/>
  <c r="W15" i="32"/>
  <c r="O15" i="32" s="1"/>
  <c r="X15" i="32"/>
  <c r="P15" i="32" s="1"/>
  <c r="Y15" i="32"/>
  <c r="Q15" i="32" s="1"/>
  <c r="U16" i="32"/>
  <c r="V16" i="32"/>
  <c r="W16" i="32"/>
  <c r="X16" i="32"/>
  <c r="Y16" i="32"/>
  <c r="U17" i="32"/>
  <c r="M17" i="32" s="1"/>
  <c r="V17" i="32"/>
  <c r="N17" i="32" s="1"/>
  <c r="W17" i="32"/>
  <c r="O17" i="32" s="1"/>
  <c r="X17" i="32"/>
  <c r="P17" i="32" s="1"/>
  <c r="Y17" i="32"/>
  <c r="Q17" i="32" s="1"/>
  <c r="U18" i="32"/>
  <c r="M18" i="32" s="1"/>
  <c r="V18" i="32"/>
  <c r="N18" i="32" s="1"/>
  <c r="W18" i="32"/>
  <c r="X18" i="32"/>
  <c r="P18" i="32" s="1"/>
  <c r="Y18" i="32"/>
  <c r="Q18" i="32" s="1"/>
  <c r="U19" i="32"/>
  <c r="M19" i="32" s="1"/>
  <c r="V19" i="32"/>
  <c r="N19" i="32" s="1"/>
  <c r="W19" i="32"/>
  <c r="O19" i="32" s="1"/>
  <c r="X19" i="32"/>
  <c r="P19" i="32" s="1"/>
  <c r="Y19" i="32"/>
  <c r="Q19" i="32" s="1"/>
  <c r="U20" i="32"/>
  <c r="V20" i="32"/>
  <c r="W20" i="32"/>
  <c r="X20" i="32"/>
  <c r="Y20" i="32"/>
  <c r="U21" i="32"/>
  <c r="V21" i="32"/>
  <c r="W21" i="32"/>
  <c r="X21" i="32"/>
  <c r="Y21" i="32"/>
  <c r="U22" i="32"/>
  <c r="M22" i="32" s="1"/>
  <c r="V22" i="32"/>
  <c r="N22" i="32" s="1"/>
  <c r="W22" i="32"/>
  <c r="X22" i="32"/>
  <c r="Y22" i="32"/>
  <c r="Q22" i="32" s="1"/>
  <c r="V12" i="32"/>
  <c r="N12" i="32" s="1"/>
  <c r="W12" i="32"/>
  <c r="O12" i="32" s="1"/>
  <c r="Y12" i="32"/>
  <c r="Q12" i="32" s="1"/>
  <c r="U12" i="32"/>
  <c r="M12" i="32" s="1"/>
  <c r="B17" i="32"/>
  <c r="B13" i="32"/>
  <c r="C13" i="32"/>
  <c r="B14" i="32"/>
  <c r="C14" i="32"/>
  <c r="B15" i="32"/>
  <c r="C15" i="32"/>
  <c r="C12" i="32"/>
  <c r="D12" i="32"/>
  <c r="B12" i="32"/>
  <c r="S22" i="32"/>
  <c r="S21" i="32" s="1"/>
  <c r="P22" i="32"/>
  <c r="O22" i="32"/>
  <c r="S19" i="32"/>
  <c r="S18" i="32"/>
  <c r="O18" i="32"/>
  <c r="S17" i="32"/>
  <c r="S16" i="32" s="1"/>
  <c r="S15" i="32"/>
  <c r="S14" i="32"/>
  <c r="O14" i="32"/>
  <c r="S13" i="32"/>
  <c r="Q13" i="32"/>
  <c r="O13" i="32"/>
  <c r="S12" i="32"/>
  <c r="P12" i="32"/>
  <c r="K40" i="31" l="1"/>
  <c r="I40" i="31" s="1"/>
  <c r="K42" i="31"/>
  <c r="I42" i="31" s="1"/>
  <c r="K39" i="31"/>
  <c r="I39" i="31" s="1"/>
  <c r="L14" i="32"/>
  <c r="O11" i="32"/>
  <c r="O16" i="32"/>
  <c r="Q16" i="32"/>
  <c r="P21" i="32"/>
  <c r="P20" i="32" s="1"/>
  <c r="L12" i="32"/>
  <c r="M16" i="32"/>
  <c r="L22" i="32"/>
  <c r="O21" i="32"/>
  <c r="O20" i="32" s="1"/>
  <c r="Q21" i="32"/>
  <c r="N21" i="32"/>
  <c r="N20" i="32" s="1"/>
  <c r="S20" i="32"/>
  <c r="N16" i="32"/>
  <c r="P16" i="32"/>
  <c r="L18" i="32"/>
  <c r="S11" i="32"/>
  <c r="L13" i="32"/>
  <c r="N11" i="32"/>
  <c r="P11" i="32"/>
  <c r="Q11" i="32"/>
  <c r="L17" i="32"/>
  <c r="L19" i="32"/>
  <c r="M21" i="32"/>
  <c r="L15" i="32"/>
  <c r="M11" i="32"/>
  <c r="A48" i="31"/>
  <c r="AZ12" i="31"/>
  <c r="AY12" i="31"/>
  <c r="S10" i="32" l="1"/>
  <c r="L11" i="32"/>
  <c r="M20" i="32"/>
  <c r="M10" i="32" s="1"/>
  <c r="O10" i="32"/>
  <c r="P10" i="32"/>
  <c r="Q20" i="32"/>
  <c r="Q10" i="32" s="1"/>
  <c r="L21" i="32"/>
  <c r="L16" i="32"/>
  <c r="N10" i="32"/>
  <c r="L20" i="32" l="1"/>
  <c r="L10" i="32" s="1"/>
  <c r="A75" i="31"/>
  <c r="A74" i="31"/>
  <c r="B69" i="31"/>
  <c r="AA71" i="32" s="1"/>
  <c r="R71" i="32" s="1"/>
  <c r="A69" i="31"/>
  <c r="R68" i="32"/>
  <c r="AA64" i="32"/>
  <c r="R64" i="32" s="1"/>
  <c r="R63" i="32"/>
  <c r="A60" i="31"/>
  <c r="B60" i="31"/>
  <c r="AA58" i="32" s="1"/>
  <c r="R58" i="32" s="1"/>
  <c r="A61" i="31"/>
  <c r="B61" i="31"/>
  <c r="AA59" i="32" s="1"/>
  <c r="R59" i="32" s="1"/>
  <c r="A62" i="31"/>
  <c r="B62" i="31"/>
  <c r="AA60" i="32" s="1"/>
  <c r="R60" i="32" s="1"/>
  <c r="B59" i="31"/>
  <c r="AA57" i="32" s="1"/>
  <c r="R57" i="32" s="1"/>
  <c r="A59" i="31"/>
  <c r="B58" i="31"/>
  <c r="AA56" i="32" s="1"/>
  <c r="R55" i="32" s="1"/>
  <c r="A58" i="31"/>
  <c r="A57" i="31"/>
  <c r="AS53" i="31"/>
  <c r="AT53" i="31"/>
  <c r="AU53" i="31"/>
  <c r="AV53" i="31"/>
  <c r="AW53" i="31"/>
  <c r="AX53" i="31"/>
  <c r="AR54" i="31"/>
  <c r="B54" i="31"/>
  <c r="AA51" i="32" s="1"/>
  <c r="R51" i="32" s="1"/>
  <c r="A54" i="31"/>
  <c r="A53" i="31"/>
  <c r="B53" i="31"/>
  <c r="AA50" i="32" s="1"/>
  <c r="R50" i="32" s="1"/>
  <c r="A52" i="31"/>
  <c r="A49" i="31"/>
  <c r="B49" i="31"/>
  <c r="AA47" i="32" s="1"/>
  <c r="R47" i="32" s="1"/>
  <c r="AR39" i="31"/>
  <c r="AR40" i="31"/>
  <c r="AR42" i="31"/>
  <c r="A46" i="31"/>
  <c r="B44" i="31"/>
  <c r="AA43" i="32" s="1"/>
  <c r="R43" i="32" s="1"/>
  <c r="A44" i="31"/>
  <c r="A43" i="31"/>
  <c r="B33" i="31"/>
  <c r="AA31" i="32" s="1"/>
  <c r="R31" i="32" s="1"/>
  <c r="BA70" i="29"/>
  <c r="AZ70" i="29"/>
  <c r="AY70" i="29"/>
  <c r="AX70" i="29"/>
  <c r="AW70" i="29"/>
  <c r="AU70" i="29"/>
  <c r="AT70" i="29"/>
  <c r="AS70" i="29"/>
  <c r="AR70" i="29"/>
  <c r="AQ70" i="29"/>
  <c r="AO70" i="29"/>
  <c r="AN70" i="29"/>
  <c r="AM70" i="29"/>
  <c r="AL70" i="29"/>
  <c r="AK70" i="29"/>
  <c r="AI70" i="29"/>
  <c r="AH70" i="29"/>
  <c r="AG70" i="29"/>
  <c r="AF70" i="29"/>
  <c r="AE70" i="29"/>
  <c r="AC70" i="29"/>
  <c r="AB70" i="29"/>
  <c r="AA70" i="29"/>
  <c r="Z70" i="29"/>
  <c r="Y70" i="29"/>
  <c r="S70" i="29"/>
  <c r="T70" i="29"/>
  <c r="U70" i="29"/>
  <c r="V70" i="29"/>
  <c r="W70" i="29"/>
  <c r="BV71" i="29"/>
  <c r="BN71" i="29"/>
  <c r="BB71" i="29"/>
  <c r="AV71" i="29"/>
  <c r="AP71" i="29"/>
  <c r="AJ71" i="29"/>
  <c r="Q71" i="29"/>
  <c r="P71" i="29"/>
  <c r="O71" i="29"/>
  <c r="N71" i="29"/>
  <c r="M71" i="29"/>
  <c r="BV55" i="29"/>
  <c r="BN55" i="29"/>
  <c r="BB55" i="29"/>
  <c r="AV55" i="29"/>
  <c r="AP55" i="29"/>
  <c r="AJ55" i="29"/>
  <c r="AD55" i="29"/>
  <c r="X55" i="29"/>
  <c r="R55" i="29"/>
  <c r="Q55" i="29"/>
  <c r="P55" i="29"/>
  <c r="O55" i="29"/>
  <c r="N55" i="29"/>
  <c r="M55" i="29"/>
  <c r="B46" i="31"/>
  <c r="AA44" i="32" s="1"/>
  <c r="R44" i="32" s="1"/>
  <c r="B31" i="31"/>
  <c r="A31" i="31"/>
  <c r="A33" i="31"/>
  <c r="A30" i="31"/>
  <c r="B30" i="31"/>
  <c r="AA29" i="32" s="1"/>
  <c r="R29" i="32" s="1"/>
  <c r="B21" i="31"/>
  <c r="AA20" i="32" s="1"/>
  <c r="B22" i="31"/>
  <c r="AA21" i="32" s="1"/>
  <c r="B23" i="31"/>
  <c r="AA22" i="32" s="1"/>
  <c r="R22" i="32" s="1"/>
  <c r="R21" i="32" s="1"/>
  <c r="B25" i="31"/>
  <c r="AA24" i="32" s="1"/>
  <c r="R24" i="32" s="1"/>
  <c r="B26" i="31"/>
  <c r="AA25" i="32" s="1"/>
  <c r="R25" i="32" s="1"/>
  <c r="B27" i="31"/>
  <c r="AA26" i="32" s="1"/>
  <c r="R26" i="32" s="1"/>
  <c r="B28" i="31"/>
  <c r="AA27" i="32" s="1"/>
  <c r="R27" i="32" s="1"/>
  <c r="B29" i="31"/>
  <c r="AA28" i="32" s="1"/>
  <c r="R28" i="32" s="1"/>
  <c r="A21" i="31"/>
  <c r="A22" i="31"/>
  <c r="A23" i="31"/>
  <c r="A24" i="31"/>
  <c r="A25" i="31"/>
  <c r="A26" i="31"/>
  <c r="A27" i="31"/>
  <c r="A28" i="31"/>
  <c r="A29" i="31"/>
  <c r="A19" i="31"/>
  <c r="B19" i="31"/>
  <c r="AA18" i="32" s="1"/>
  <c r="R18" i="32" s="1"/>
  <c r="A20" i="31"/>
  <c r="B20" i="31"/>
  <c r="AA19" i="32" s="1"/>
  <c r="R19" i="32" s="1"/>
  <c r="A18" i="31"/>
  <c r="B18" i="31"/>
  <c r="AA17" i="32" s="1"/>
  <c r="R17" i="32" s="1"/>
  <c r="R16" i="32" s="1"/>
  <c r="B17" i="31"/>
  <c r="AA16" i="32" s="1"/>
  <c r="A17" i="31"/>
  <c r="A12" i="31"/>
  <c r="A14" i="31"/>
  <c r="A15" i="31"/>
  <c r="A16" i="31"/>
  <c r="A13" i="31"/>
  <c r="B15" i="31"/>
  <c r="AA14" i="32" s="1"/>
  <c r="R14" i="32" s="1"/>
  <c r="B16" i="31"/>
  <c r="AA15" i="32" s="1"/>
  <c r="R15" i="32" s="1"/>
  <c r="AA12" i="32"/>
  <c r="R12" i="32" s="1"/>
  <c r="R11" i="32" s="1"/>
  <c r="B11" i="31"/>
  <c r="AL87" i="31"/>
  <c r="AF87" i="31"/>
  <c r="Z87" i="31"/>
  <c r="AL85" i="31"/>
  <c r="AJ85" i="31"/>
  <c r="AF85" i="31"/>
  <c r="AD85" i="31"/>
  <c r="R85" i="31" s="1"/>
  <c r="Z85" i="31"/>
  <c r="M85" i="31" s="1"/>
  <c r="AQ79" i="31"/>
  <c r="AP79" i="31"/>
  <c r="AO79" i="31"/>
  <c r="AN79" i="31"/>
  <c r="AM79" i="31"/>
  <c r="AK79" i="31"/>
  <c r="AJ79" i="31"/>
  <c r="AI79" i="31"/>
  <c r="AH79" i="31"/>
  <c r="AG79" i="31"/>
  <c r="AE79" i="31"/>
  <c r="AD79" i="31"/>
  <c r="AC79" i="31"/>
  <c r="AB79" i="31"/>
  <c r="AA79" i="31"/>
  <c r="M79" i="31"/>
  <c r="T80" i="32" s="1"/>
  <c r="AR72" i="31"/>
  <c r="AL72" i="31"/>
  <c r="AF72" i="31"/>
  <c r="Z72" i="31"/>
  <c r="AR71" i="31"/>
  <c r="AL71" i="31"/>
  <c r="AL79" i="31" s="1"/>
  <c r="AF71" i="31"/>
  <c r="AF79" i="31" s="1"/>
  <c r="Z71" i="31"/>
  <c r="Z79" i="31" s="1"/>
  <c r="S71" i="31"/>
  <c r="S79" i="31" s="1"/>
  <c r="R71" i="31"/>
  <c r="R79" i="31" s="1"/>
  <c r="Q71" i="31"/>
  <c r="Q79" i="31" s="1"/>
  <c r="P71" i="31"/>
  <c r="P79" i="31" s="1"/>
  <c r="O71" i="31"/>
  <c r="O79" i="31" s="1"/>
  <c r="AR70" i="31"/>
  <c r="AL70" i="31"/>
  <c r="AF70" i="31"/>
  <c r="Z70" i="31"/>
  <c r="S70" i="31"/>
  <c r="R70" i="31"/>
  <c r="Q70" i="31"/>
  <c r="P70" i="31"/>
  <c r="O70" i="31"/>
  <c r="AX69" i="31"/>
  <c r="AW69" i="31"/>
  <c r="AV69" i="31"/>
  <c r="AU69" i="31"/>
  <c r="AT69" i="31"/>
  <c r="AS69" i="31"/>
  <c r="AQ69" i="31"/>
  <c r="AQ78" i="31" s="1"/>
  <c r="AP69" i="31"/>
  <c r="AP78" i="31" s="1"/>
  <c r="AO69" i="31"/>
  <c r="AO78" i="31" s="1"/>
  <c r="AN69" i="31"/>
  <c r="AN78" i="31" s="1"/>
  <c r="AM69" i="31"/>
  <c r="AM78" i="31" s="1"/>
  <c r="AK69" i="31"/>
  <c r="AK78" i="31" s="1"/>
  <c r="AJ69" i="31"/>
  <c r="AJ78" i="31" s="1"/>
  <c r="AI69" i="31"/>
  <c r="AI78" i="31" s="1"/>
  <c r="AH69" i="31"/>
  <c r="AH78" i="31" s="1"/>
  <c r="AG69" i="31"/>
  <c r="AE69" i="31"/>
  <c r="AD69" i="31"/>
  <c r="AC69" i="31"/>
  <c r="AB69" i="31"/>
  <c r="AA69" i="31"/>
  <c r="AD8" i="31" s="1"/>
  <c r="AR67" i="31"/>
  <c r="AL67" i="31"/>
  <c r="AF67" i="31"/>
  <c r="Z67" i="31"/>
  <c r="S67" i="31"/>
  <c r="R67" i="31"/>
  <c r="Q67" i="31"/>
  <c r="P67" i="31"/>
  <c r="O67" i="31"/>
  <c r="AR60" i="31"/>
  <c r="AR59" i="31"/>
  <c r="AX58" i="31"/>
  <c r="AW58" i="31"/>
  <c r="AV58" i="31"/>
  <c r="AU58" i="31"/>
  <c r="AT58" i="31"/>
  <c r="AS58" i="31"/>
  <c r="AR51" i="31"/>
  <c r="AX49" i="31"/>
  <c r="AW49" i="31"/>
  <c r="AV49" i="31"/>
  <c r="AU49" i="31"/>
  <c r="AT49" i="31"/>
  <c r="AS49" i="31"/>
  <c r="AR47" i="31"/>
  <c r="AR46" i="31"/>
  <c r="AX44" i="31"/>
  <c r="AW44" i="31"/>
  <c r="AV44" i="31"/>
  <c r="AU44" i="31"/>
  <c r="AT44" i="31"/>
  <c r="AS44" i="31"/>
  <c r="AR38" i="31"/>
  <c r="AR37" i="31"/>
  <c r="AR36" i="31"/>
  <c r="AR35" i="31"/>
  <c r="AR34" i="31"/>
  <c r="AR33" i="31"/>
  <c r="AX31" i="31"/>
  <c r="AW31" i="31"/>
  <c r="AV31" i="31"/>
  <c r="AU31" i="31"/>
  <c r="AT31" i="31"/>
  <c r="AS31" i="31"/>
  <c r="AR29" i="31"/>
  <c r="AR28" i="31"/>
  <c r="AR27" i="31"/>
  <c r="AR26" i="31"/>
  <c r="AR25" i="31"/>
  <c r="AR24" i="31"/>
  <c r="AR23" i="31"/>
  <c r="AX22" i="31"/>
  <c r="AW22" i="31"/>
  <c r="AV22" i="31"/>
  <c r="AU22" i="31"/>
  <c r="AT22" i="31"/>
  <c r="AS22" i="31"/>
  <c r="AR20" i="31"/>
  <c r="AR19" i="31"/>
  <c r="AR18" i="31"/>
  <c r="AX17" i="31"/>
  <c r="AW17" i="31"/>
  <c r="AV17" i="31"/>
  <c r="AU17" i="31"/>
  <c r="AT17" i="31"/>
  <c r="AS17" i="31"/>
  <c r="AR16" i="31"/>
  <c r="AR15" i="31"/>
  <c r="AR14" i="31"/>
  <c r="AR13" i="31"/>
  <c r="AX12" i="31"/>
  <c r="AW12" i="31"/>
  <c r="AV12" i="31"/>
  <c r="AU12" i="31"/>
  <c r="AT12" i="31"/>
  <c r="AS12" i="31"/>
  <c r="AQ12" i="31"/>
  <c r="AP12" i="31"/>
  <c r="AO12" i="31"/>
  <c r="AN12" i="31"/>
  <c r="AM12" i="31"/>
  <c r="AK12" i="31"/>
  <c r="AJ12" i="31"/>
  <c r="AI12" i="31"/>
  <c r="AH12" i="31"/>
  <c r="AG12" i="31"/>
  <c r="AE12" i="31"/>
  <c r="AD12" i="31"/>
  <c r="AC12" i="31"/>
  <c r="AB12" i="31"/>
  <c r="AA12" i="31"/>
  <c r="AJ8" i="31" l="1"/>
  <c r="P66" i="31"/>
  <c r="P77" i="31" s="1"/>
  <c r="AG78" i="31"/>
  <c r="AF66" i="31"/>
  <c r="AF82" i="31" s="1"/>
  <c r="AL66" i="31"/>
  <c r="AL82" i="31" s="1"/>
  <c r="Z66" i="31"/>
  <c r="P49" i="31"/>
  <c r="P17" i="31"/>
  <c r="R17" i="31"/>
  <c r="S17" i="31"/>
  <c r="AK11" i="31"/>
  <c r="AK76" i="31" s="1"/>
  <c r="AK80" i="31" s="1"/>
  <c r="P44" i="31"/>
  <c r="R58" i="31"/>
  <c r="P53" i="31"/>
  <c r="S53" i="31"/>
  <c r="Q53" i="31"/>
  <c r="O17" i="31"/>
  <c r="Q17" i="31"/>
  <c r="Q44" i="31"/>
  <c r="Q49" i="31"/>
  <c r="O49" i="31"/>
  <c r="Q58" i="31"/>
  <c r="O53" i="31"/>
  <c r="R53" i="31"/>
  <c r="S49" i="31"/>
  <c r="R44" i="31"/>
  <c r="Q31" i="31"/>
  <c r="R31" i="31"/>
  <c r="O58" i="31"/>
  <c r="S58" i="31"/>
  <c r="P58" i="31"/>
  <c r="O44" i="31"/>
  <c r="S44" i="31"/>
  <c r="P31" i="31"/>
  <c r="O31" i="31"/>
  <c r="S31" i="31"/>
  <c r="Q22" i="31"/>
  <c r="R22" i="31"/>
  <c r="O22" i="31"/>
  <c r="P22" i="31"/>
  <c r="S22" i="31"/>
  <c r="R49" i="31"/>
  <c r="AN11" i="31"/>
  <c r="AN76" i="31" s="1"/>
  <c r="Z81" i="31"/>
  <c r="AF81" i="31"/>
  <c r="AL81" i="31"/>
  <c r="AA30" i="32"/>
  <c r="R30" i="32" s="1"/>
  <c r="AM11" i="31"/>
  <c r="AM76" i="31" s="1"/>
  <c r="AT30" i="31"/>
  <c r="AV30" i="31"/>
  <c r="AV21" i="31" s="1"/>
  <c r="AV11" i="31" s="1"/>
  <c r="AX30" i="31"/>
  <c r="AO11" i="31"/>
  <c r="AO76" i="31" s="1"/>
  <c r="AO80" i="31" s="1"/>
  <c r="Z69" i="31"/>
  <c r="AL69" i="31"/>
  <c r="AL78" i="31" s="1"/>
  <c r="AV70" i="29"/>
  <c r="BB70" i="29"/>
  <c r="L71" i="29"/>
  <c r="X70" i="29"/>
  <c r="AP70" i="29"/>
  <c r="AJ70" i="29"/>
  <c r="L55" i="29"/>
  <c r="AD70" i="29"/>
  <c r="R20" i="32"/>
  <c r="R10" i="32" s="1"/>
  <c r="AP8" i="31"/>
  <c r="AW7" i="31"/>
  <c r="AW8" i="31"/>
  <c r="AF69" i="31"/>
  <c r="AF78" i="31" s="1"/>
  <c r="AR69" i="31"/>
  <c r="O12" i="31"/>
  <c r="Q12" i="31"/>
  <c r="R66" i="31"/>
  <c r="S66" i="31"/>
  <c r="AA78" i="31"/>
  <c r="O69" i="31"/>
  <c r="O78" i="31" s="1"/>
  <c r="AC78" i="31"/>
  <c r="Q69" i="31"/>
  <c r="Q78" i="31" s="1"/>
  <c r="O66" i="31"/>
  <c r="Q66" i="31"/>
  <c r="Q77" i="31" s="1"/>
  <c r="AB78" i="31"/>
  <c r="P69" i="31"/>
  <c r="P78" i="31" s="1"/>
  <c r="AD78" i="31"/>
  <c r="R69" i="31"/>
  <c r="R78" i="31" s="1"/>
  <c r="AE78" i="31"/>
  <c r="S69" i="31"/>
  <c r="S78" i="31" s="1"/>
  <c r="P12" i="31"/>
  <c r="R12" i="31"/>
  <c r="S12" i="31"/>
  <c r="AR53" i="31"/>
  <c r="AR58" i="31"/>
  <c r="AG11" i="31"/>
  <c r="AG76" i="31" s="1"/>
  <c r="AQ11" i="31"/>
  <c r="AQ76" i="31" s="1"/>
  <c r="AQ80" i="31" s="1"/>
  <c r="AS30" i="31"/>
  <c r="AU30" i="31"/>
  <c r="AW30" i="31"/>
  <c r="T18" i="32"/>
  <c r="T14" i="32"/>
  <c r="T64" i="32"/>
  <c r="N67" i="31"/>
  <c r="AR22" i="31"/>
  <c r="AJ11" i="31"/>
  <c r="AJ76" i="31" s="1"/>
  <c r="AJ80" i="31" s="1"/>
  <c r="T13" i="32"/>
  <c r="T15" i="32"/>
  <c r="T17" i="32"/>
  <c r="T19" i="32"/>
  <c r="AR12" i="31"/>
  <c r="AR17" i="31"/>
  <c r="AH11" i="31"/>
  <c r="AH76" i="31" s="1"/>
  <c r="AR31" i="31"/>
  <c r="T31" i="32"/>
  <c r="AR44" i="31"/>
  <c r="Z12" i="31"/>
  <c r="AF12" i="31"/>
  <c r="AL12" i="31"/>
  <c r="T25" i="32"/>
  <c r="T27" i="32"/>
  <c r="T66" i="32"/>
  <c r="N70" i="31"/>
  <c r="T23" i="32"/>
  <c r="T26" i="32"/>
  <c r="T28" i="32"/>
  <c r="AR49" i="31"/>
  <c r="N71" i="31"/>
  <c r="N13" i="31"/>
  <c r="T24" i="32"/>
  <c r="M87" i="31"/>
  <c r="T22" i="32"/>
  <c r="AL77" i="31"/>
  <c r="M13" i="31" l="1"/>
  <c r="M81" i="31" s="1"/>
  <c r="T82" i="32" s="1"/>
  <c r="M67" i="31"/>
  <c r="T69" i="32" s="1"/>
  <c r="N79" i="31"/>
  <c r="M71" i="31"/>
  <c r="T73" i="32" s="1"/>
  <c r="M70" i="31"/>
  <c r="T72" i="32" s="1"/>
  <c r="S77" i="31"/>
  <c r="O77" i="31"/>
  <c r="N66" i="31"/>
  <c r="M66" i="31" s="1"/>
  <c r="Z82" i="31"/>
  <c r="AF84" i="31"/>
  <c r="N49" i="31"/>
  <c r="AM80" i="31"/>
  <c r="AL84" i="31"/>
  <c r="AN80" i="31"/>
  <c r="N44" i="31"/>
  <c r="N17" i="31"/>
  <c r="M17" i="31" s="1"/>
  <c r="N53" i="31"/>
  <c r="K55" i="29"/>
  <c r="K36" i="32" s="1"/>
  <c r="L38" i="31"/>
  <c r="J38" i="31" s="1"/>
  <c r="K71" i="29"/>
  <c r="K51" i="32" s="1"/>
  <c r="L54" i="31"/>
  <c r="J54" i="31" s="1"/>
  <c r="N58" i="31"/>
  <c r="M58" i="31" s="1"/>
  <c r="T56" i="32" s="1"/>
  <c r="N31" i="31"/>
  <c r="M31" i="31" s="1"/>
  <c r="T30" i="32" s="1"/>
  <c r="AU21" i="31"/>
  <c r="AU11" i="31" s="1"/>
  <c r="Q30" i="31"/>
  <c r="AS21" i="31"/>
  <c r="AS11" i="31" s="1"/>
  <c r="O30" i="31"/>
  <c r="AT21" i="31"/>
  <c r="AT11" i="31" s="1"/>
  <c r="P30" i="31"/>
  <c r="AX21" i="31"/>
  <c r="AX11" i="31" s="1"/>
  <c r="S30" i="31"/>
  <c r="N22" i="31"/>
  <c r="AI11" i="31"/>
  <c r="AI76" i="31" s="1"/>
  <c r="AI80" i="31" s="1"/>
  <c r="AA11" i="31"/>
  <c r="AA76" i="31" s="1"/>
  <c r="AW21" i="31"/>
  <c r="R30" i="31"/>
  <c r="T51" i="32"/>
  <c r="Z78" i="31"/>
  <c r="AG80" i="31"/>
  <c r="Z77" i="31"/>
  <c r="AF77" i="31"/>
  <c r="AF11" i="31"/>
  <c r="N69" i="31"/>
  <c r="M69" i="31" s="1"/>
  <c r="T16" i="32"/>
  <c r="N12" i="31"/>
  <c r="AC11" i="31"/>
  <c r="AC76" i="31" s="1"/>
  <c r="AC80" i="31" s="1"/>
  <c r="AH80" i="31"/>
  <c r="AL11" i="31"/>
  <c r="AR30" i="31"/>
  <c r="AR21" i="31" s="1"/>
  <c r="AR11" i="31" s="1"/>
  <c r="Z11" i="31"/>
  <c r="T12" i="32" l="1"/>
  <c r="AF76" i="31"/>
  <c r="AF83" i="31" s="1"/>
  <c r="M12" i="31"/>
  <c r="T11" i="32" s="1"/>
  <c r="M53" i="31"/>
  <c r="T50" i="32" s="1"/>
  <c r="M44" i="31"/>
  <c r="T43" i="32" s="1"/>
  <c r="M49" i="31"/>
  <c r="T47" i="32" s="1"/>
  <c r="M22" i="31"/>
  <c r="T21" i="32" s="1"/>
  <c r="P21" i="31"/>
  <c r="P11" i="31" s="1"/>
  <c r="P76" i="31" s="1"/>
  <c r="P80" i="31" s="1"/>
  <c r="Q21" i="31"/>
  <c r="Q11" i="31" s="1"/>
  <c r="Q76" i="31" s="1"/>
  <c r="Q80" i="31" s="1"/>
  <c r="AA80" i="31"/>
  <c r="T68" i="32"/>
  <c r="N77" i="31"/>
  <c r="K38" i="31"/>
  <c r="I38" i="31" s="1"/>
  <c r="K54" i="31"/>
  <c r="I54" i="31" s="1"/>
  <c r="O21" i="31"/>
  <c r="O11" i="31" s="1"/>
  <c r="O76" i="31" s="1"/>
  <c r="O80" i="31" s="1"/>
  <c r="S21" i="31"/>
  <c r="S11" i="31" s="1"/>
  <c r="S76" i="31" s="1"/>
  <c r="S80" i="31" s="1"/>
  <c r="N30" i="31"/>
  <c r="AW11" i="31"/>
  <c r="AP11" i="31"/>
  <c r="AP76" i="31" s="1"/>
  <c r="R21" i="31"/>
  <c r="T71" i="32"/>
  <c r="N78" i="31"/>
  <c r="AB11" i="31"/>
  <c r="AB76" i="31" s="1"/>
  <c r="Z84" i="31" s="1"/>
  <c r="AE11" i="31"/>
  <c r="AE76" i="31" s="1"/>
  <c r="AE80" i="31" s="1"/>
  <c r="AD11" i="31"/>
  <c r="AD76" i="31" s="1"/>
  <c r="AD80" i="31" s="1"/>
  <c r="AF80" i="31" l="1"/>
  <c r="M30" i="31"/>
  <c r="T29" i="32" s="1"/>
  <c r="M77" i="31"/>
  <c r="T78" i="32" s="1"/>
  <c r="N21" i="31"/>
  <c r="M21" i="31" s="1"/>
  <c r="R11" i="31"/>
  <c r="R76" i="31" s="1"/>
  <c r="R80" i="31" s="1"/>
  <c r="AP80" i="31"/>
  <c r="AL76" i="31"/>
  <c r="M78" i="31"/>
  <c r="T79" i="32" s="1"/>
  <c r="Z76" i="31"/>
  <c r="Z80" i="31" s="1"/>
  <c r="Z83" i="31" s="1"/>
  <c r="AB80" i="31"/>
  <c r="AL80" i="31" l="1"/>
  <c r="AL83" i="31"/>
  <c r="N11" i="31"/>
  <c r="B45" i="30"/>
  <c r="B44" i="30"/>
  <c r="B43" i="30"/>
  <c r="B42" i="30"/>
  <c r="B41" i="30"/>
  <c r="B40" i="30"/>
  <c r="B39" i="30"/>
  <c r="B38" i="30"/>
  <c r="B37" i="30"/>
  <c r="B36" i="30"/>
  <c r="B35" i="30"/>
  <c r="BM27" i="30"/>
  <c r="BL27" i="30"/>
  <c r="BK27" i="30"/>
  <c r="BJ27" i="30"/>
  <c r="BI27" i="30"/>
  <c r="BH27" i="30"/>
  <c r="BF27" i="30"/>
  <c r="BE27" i="30"/>
  <c r="BC27" i="30"/>
  <c r="BB27" i="30"/>
  <c r="BM26" i="30"/>
  <c r="BL26" i="30"/>
  <c r="BK26" i="30"/>
  <c r="BJ26" i="30"/>
  <c r="BI26" i="30"/>
  <c r="BH26" i="30"/>
  <c r="BF26" i="30"/>
  <c r="BE26" i="30"/>
  <c r="BC26" i="30"/>
  <c r="BB26" i="30"/>
  <c r="BM25" i="30"/>
  <c r="BL25" i="30"/>
  <c r="BK25" i="30"/>
  <c r="BJ25" i="30"/>
  <c r="BI25" i="30"/>
  <c r="BH25" i="30"/>
  <c r="BF25" i="30"/>
  <c r="BE25" i="30"/>
  <c r="BC25" i="30"/>
  <c r="BB25" i="30"/>
  <c r="BM24" i="30"/>
  <c r="BL24" i="30"/>
  <c r="BL29" i="30" s="1"/>
  <c r="BK24" i="30"/>
  <c r="BJ24" i="30"/>
  <c r="BI24" i="30"/>
  <c r="BH24" i="30"/>
  <c r="BF24" i="30"/>
  <c r="BF29" i="30" s="1"/>
  <c r="BE24" i="30"/>
  <c r="BC24" i="30"/>
  <c r="BB24" i="30"/>
  <c r="N76" i="31" l="1"/>
  <c r="M83" i="31" s="1"/>
  <c r="T84" i="32" s="1"/>
  <c r="M11" i="31"/>
  <c r="M76" i="31" s="1"/>
  <c r="T77" i="32" s="1"/>
  <c r="BM29" i="30"/>
  <c r="BJ29" i="30"/>
  <c r="BB29" i="30"/>
  <c r="BH29" i="30"/>
  <c r="BI29" i="30"/>
  <c r="BD26" i="30"/>
  <c r="BG26" i="30"/>
  <c r="BD27" i="30"/>
  <c r="BG24" i="30"/>
  <c r="BG27" i="30"/>
  <c r="BN27" i="30" s="1"/>
  <c r="T20" i="32"/>
  <c r="BC29" i="30"/>
  <c r="BD25" i="30"/>
  <c r="BG25" i="30"/>
  <c r="BD24" i="30"/>
  <c r="BE29" i="30"/>
  <c r="N80" i="31" l="1"/>
  <c r="BN26" i="30"/>
  <c r="BG29" i="30"/>
  <c r="M80" i="31"/>
  <c r="T81" i="32" s="1"/>
  <c r="M84" i="31"/>
  <c r="T10" i="32"/>
  <c r="BN25" i="30"/>
  <c r="BD29" i="30"/>
  <c r="BN24" i="30"/>
  <c r="BN29" i="30" l="1"/>
  <c r="AD79" i="29"/>
  <c r="AD80" i="29"/>
  <c r="AP64" i="29" l="1"/>
  <c r="AW61" i="29" l="1"/>
  <c r="AV63" i="29"/>
  <c r="AK83" i="29"/>
  <c r="AL88" i="29"/>
  <c r="AM88" i="29"/>
  <c r="AN83" i="29"/>
  <c r="AO83" i="29"/>
  <c r="M31" i="29"/>
  <c r="M32" i="29"/>
  <c r="M33" i="29"/>
  <c r="N31" i="29"/>
  <c r="N32" i="29"/>
  <c r="N33" i="29"/>
  <c r="BG29" i="29"/>
  <c r="BV33" i="29"/>
  <c r="BN33" i="29"/>
  <c r="BB33" i="29"/>
  <c r="AV33" i="29"/>
  <c r="AP33" i="29"/>
  <c r="AJ33" i="29"/>
  <c r="AD33" i="29"/>
  <c r="X33" i="29"/>
  <c r="R33" i="29"/>
  <c r="Q33" i="29"/>
  <c r="P33" i="29"/>
  <c r="O33" i="29"/>
  <c r="BV92" i="29"/>
  <c r="BV91" i="29" s="1"/>
  <c r="BN92" i="29"/>
  <c r="BN91" i="29" s="1"/>
  <c r="BH92" i="29"/>
  <c r="BH91" i="29" s="1"/>
  <c r="BB92" i="29"/>
  <c r="BB91" i="29" s="1"/>
  <c r="AV92" i="29"/>
  <c r="AV91" i="29" s="1"/>
  <c r="AP92" i="29"/>
  <c r="AP91" i="29" s="1"/>
  <c r="AJ92" i="29"/>
  <c r="AJ91" i="29" s="1"/>
  <c r="AD92" i="29"/>
  <c r="AD91" i="29" s="1"/>
  <c r="X92" i="29"/>
  <c r="X91" i="29" s="1"/>
  <c r="R92" i="29"/>
  <c r="R91" i="29" s="1"/>
  <c r="Q92" i="29"/>
  <c r="Q91" i="29" s="1"/>
  <c r="P92" i="29"/>
  <c r="P91" i="29" s="1"/>
  <c r="O92" i="29"/>
  <c r="N92" i="29"/>
  <c r="M92" i="29"/>
  <c r="M91" i="29" s="1"/>
  <c r="AL83" i="29" l="1"/>
  <c r="N88" i="29"/>
  <c r="AM83" i="29"/>
  <c r="O88" i="29"/>
  <c r="AJ88" i="29"/>
  <c r="L92" i="29"/>
  <c r="L33" i="29"/>
  <c r="M86" i="29"/>
  <c r="M89" i="29"/>
  <c r="M90" i="29"/>
  <c r="N63" i="29"/>
  <c r="M40" i="29"/>
  <c r="N40" i="29"/>
  <c r="O40" i="29"/>
  <c r="P40" i="29"/>
  <c r="Q40" i="29"/>
  <c r="R40" i="29"/>
  <c r="X40" i="29"/>
  <c r="AD40" i="29"/>
  <c r="AJ40" i="29"/>
  <c r="AP40" i="29"/>
  <c r="AV40" i="29"/>
  <c r="BB40" i="29"/>
  <c r="BN40" i="29"/>
  <c r="BV40" i="29"/>
  <c r="M41" i="29"/>
  <c r="N41" i="29"/>
  <c r="O41" i="29"/>
  <c r="P41" i="29"/>
  <c r="Q41" i="29"/>
  <c r="R41" i="29"/>
  <c r="X41" i="29"/>
  <c r="AD41" i="29"/>
  <c r="AJ41" i="29"/>
  <c r="AP41" i="29"/>
  <c r="AV41" i="29"/>
  <c r="BB41" i="29"/>
  <c r="BN41" i="29"/>
  <c r="BV41" i="29"/>
  <c r="M42" i="29"/>
  <c r="N42" i="29"/>
  <c r="O42" i="29"/>
  <c r="P42" i="29"/>
  <c r="Q42" i="29"/>
  <c r="R42" i="29"/>
  <c r="X42" i="29"/>
  <c r="AD42" i="29"/>
  <c r="AJ42" i="29"/>
  <c r="AP42" i="29"/>
  <c r="AV42" i="29"/>
  <c r="BB42" i="29"/>
  <c r="BN42" i="29"/>
  <c r="BV42" i="29"/>
  <c r="M43" i="29"/>
  <c r="N43" i="29"/>
  <c r="O43" i="29"/>
  <c r="Q43" i="29"/>
  <c r="R43" i="29"/>
  <c r="X43" i="29"/>
  <c r="AD43" i="29"/>
  <c r="AJ43" i="29"/>
  <c r="AP43" i="29"/>
  <c r="AV43" i="29"/>
  <c r="BB43" i="29"/>
  <c r="BN43" i="29"/>
  <c r="BV43" i="29"/>
  <c r="M44" i="29"/>
  <c r="N44" i="29"/>
  <c r="O44" i="29"/>
  <c r="P44" i="29"/>
  <c r="Q44" i="29"/>
  <c r="R44" i="29"/>
  <c r="X44" i="29"/>
  <c r="AD44" i="29"/>
  <c r="AJ44" i="29"/>
  <c r="AP44" i="29"/>
  <c r="AV44" i="29"/>
  <c r="BB44" i="29"/>
  <c r="BN44" i="29"/>
  <c r="BV44" i="29"/>
  <c r="M45" i="29"/>
  <c r="N45" i="29"/>
  <c r="O45" i="29"/>
  <c r="P45" i="29"/>
  <c r="Q45" i="29"/>
  <c r="R45" i="29"/>
  <c r="X45" i="29"/>
  <c r="AD45" i="29"/>
  <c r="AJ45" i="29"/>
  <c r="AP45" i="29"/>
  <c r="AV45" i="29"/>
  <c r="BB45" i="29"/>
  <c r="BN45" i="29"/>
  <c r="BV45" i="29"/>
  <c r="M46" i="29"/>
  <c r="N46" i="29"/>
  <c r="O46" i="29"/>
  <c r="P46" i="29"/>
  <c r="Q46" i="29"/>
  <c r="R46" i="29"/>
  <c r="X46" i="29"/>
  <c r="AD46" i="29"/>
  <c r="AJ46" i="29"/>
  <c r="AP46" i="29"/>
  <c r="AV46" i="29"/>
  <c r="BB46" i="29"/>
  <c r="BN46" i="29"/>
  <c r="BV46" i="29"/>
  <c r="BV80" i="29"/>
  <c r="BN80" i="29"/>
  <c r="BB80" i="29"/>
  <c r="AV80" i="29"/>
  <c r="AP80" i="29"/>
  <c r="AJ80" i="29"/>
  <c r="X80" i="29"/>
  <c r="R80" i="29"/>
  <c r="Q80" i="29"/>
  <c r="P80" i="29"/>
  <c r="O80" i="29"/>
  <c r="N80" i="29"/>
  <c r="M80" i="29"/>
  <c r="BV79" i="29"/>
  <c r="BN79" i="29"/>
  <c r="BB79" i="29"/>
  <c r="AV79" i="29"/>
  <c r="AP79" i="29"/>
  <c r="AJ79" i="29"/>
  <c r="X79" i="29"/>
  <c r="R79" i="29"/>
  <c r="Q79" i="29"/>
  <c r="P79" i="29"/>
  <c r="O79" i="29"/>
  <c r="N79" i="29"/>
  <c r="M79" i="29"/>
  <c r="BV78" i="29"/>
  <c r="BN78" i="29"/>
  <c r="BB78" i="29"/>
  <c r="AV78" i="29"/>
  <c r="AP78" i="29"/>
  <c r="AJ78" i="29"/>
  <c r="AD78" i="29"/>
  <c r="X78" i="29"/>
  <c r="R78" i="29"/>
  <c r="Q78" i="29"/>
  <c r="P78" i="29"/>
  <c r="O78" i="29"/>
  <c r="N78" i="29"/>
  <c r="M78" i="29"/>
  <c r="BV77" i="29"/>
  <c r="BN77" i="29"/>
  <c r="BB77" i="29"/>
  <c r="AV77" i="29"/>
  <c r="AP77" i="29"/>
  <c r="AJ77" i="29"/>
  <c r="AD77" i="29"/>
  <c r="X77" i="29"/>
  <c r="R77" i="29"/>
  <c r="Q77" i="29"/>
  <c r="P77" i="29"/>
  <c r="O77" i="29"/>
  <c r="N77" i="29"/>
  <c r="M77" i="29"/>
  <c r="BV54" i="29"/>
  <c r="BN54" i="29"/>
  <c r="BB54" i="29"/>
  <c r="AV54" i="29"/>
  <c r="AP54" i="29"/>
  <c r="AJ54" i="29"/>
  <c r="AD54" i="29"/>
  <c r="X54" i="29"/>
  <c r="R54" i="29"/>
  <c r="Q54" i="29"/>
  <c r="P54" i="29"/>
  <c r="O54" i="29"/>
  <c r="N54" i="29"/>
  <c r="M54" i="29"/>
  <c r="BV53" i="29"/>
  <c r="BN53" i="29"/>
  <c r="BB53" i="29"/>
  <c r="AV53" i="29"/>
  <c r="AP53" i="29"/>
  <c r="AJ53" i="29"/>
  <c r="AD53" i="29"/>
  <c r="X53" i="29"/>
  <c r="R53" i="29"/>
  <c r="Q53" i="29"/>
  <c r="P53" i="29"/>
  <c r="O53" i="29"/>
  <c r="N53" i="29"/>
  <c r="M53" i="29"/>
  <c r="BV52" i="29"/>
  <c r="BN52" i="29"/>
  <c r="BB52" i="29"/>
  <c r="AV52" i="29"/>
  <c r="AP52" i="29"/>
  <c r="AJ52" i="29"/>
  <c r="AD52" i="29"/>
  <c r="X52" i="29"/>
  <c r="R52" i="29"/>
  <c r="Q52" i="29"/>
  <c r="P52" i="29"/>
  <c r="O52" i="29"/>
  <c r="N52" i="29"/>
  <c r="M52" i="29"/>
  <c r="BV51" i="29"/>
  <c r="BN51" i="29"/>
  <c r="BB51" i="29"/>
  <c r="AV51" i="29"/>
  <c r="AP51" i="29"/>
  <c r="AJ51" i="29"/>
  <c r="AD51" i="29"/>
  <c r="X51" i="29"/>
  <c r="R51" i="29"/>
  <c r="Q51" i="29"/>
  <c r="P51" i="29"/>
  <c r="O51" i="29"/>
  <c r="N51" i="29"/>
  <c r="M51" i="29"/>
  <c r="BV50" i="29"/>
  <c r="BN50" i="29"/>
  <c r="BB50" i="29"/>
  <c r="AV50" i="29"/>
  <c r="AP50" i="29"/>
  <c r="AJ50" i="29"/>
  <c r="AD50" i="29"/>
  <c r="X50" i="29"/>
  <c r="R50" i="29"/>
  <c r="Q50" i="29"/>
  <c r="P50" i="29"/>
  <c r="O50" i="29"/>
  <c r="N50" i="29"/>
  <c r="M50" i="29"/>
  <c r="AN7" i="29" l="1"/>
  <c r="L88" i="29"/>
  <c r="K88" i="29" s="1"/>
  <c r="K33" i="29"/>
  <c r="K16" i="31" s="1"/>
  <c r="I16" i="31" s="1"/>
  <c r="L16" i="31"/>
  <c r="L91" i="29"/>
  <c r="L66" i="31" s="1"/>
  <c r="L67" i="31"/>
  <c r="K92" i="29"/>
  <c r="L77" i="29"/>
  <c r="L53" i="29"/>
  <c r="L54" i="29"/>
  <c r="L45" i="29"/>
  <c r="L44" i="29"/>
  <c r="L43" i="29"/>
  <c r="L42" i="29"/>
  <c r="L41" i="29"/>
  <c r="L40" i="29"/>
  <c r="L46" i="29"/>
  <c r="L52" i="29"/>
  <c r="L50" i="29"/>
  <c r="P76" i="29"/>
  <c r="O76" i="29"/>
  <c r="L51" i="29"/>
  <c r="Q76" i="29"/>
  <c r="N76" i="29"/>
  <c r="M76" i="29"/>
  <c r="L79" i="29"/>
  <c r="L80" i="29"/>
  <c r="L78" i="29"/>
  <c r="K15" i="32" l="1"/>
  <c r="K80" i="29"/>
  <c r="K60" i="32" s="1"/>
  <c r="L62" i="31"/>
  <c r="J62" i="31" s="1"/>
  <c r="K50" i="29"/>
  <c r="K31" i="32" s="1"/>
  <c r="L33" i="31"/>
  <c r="J33" i="31" s="1"/>
  <c r="K46" i="29"/>
  <c r="K28" i="32" s="1"/>
  <c r="L29" i="31"/>
  <c r="J29" i="31" s="1"/>
  <c r="K41" i="29"/>
  <c r="K23" i="32" s="1"/>
  <c r="L24" i="31"/>
  <c r="J24" i="31" s="1"/>
  <c r="K43" i="29"/>
  <c r="K25" i="32" s="1"/>
  <c r="L26" i="31"/>
  <c r="J26" i="31" s="1"/>
  <c r="K45" i="29"/>
  <c r="K27" i="32" s="1"/>
  <c r="L28" i="31"/>
  <c r="J28" i="31" s="1"/>
  <c r="K78" i="29"/>
  <c r="K58" i="32" s="1"/>
  <c r="L60" i="31"/>
  <c r="J60" i="31" s="1"/>
  <c r="K79" i="29"/>
  <c r="K59" i="32" s="1"/>
  <c r="L61" i="31"/>
  <c r="J61" i="31" s="1"/>
  <c r="K51" i="29"/>
  <c r="K32" i="32" s="1"/>
  <c r="L34" i="31"/>
  <c r="J34" i="31" s="1"/>
  <c r="K52" i="29"/>
  <c r="K33" i="32" s="1"/>
  <c r="L35" i="31"/>
  <c r="J35" i="31" s="1"/>
  <c r="K40" i="29"/>
  <c r="K23" i="31" s="1"/>
  <c r="I23" i="31" s="1"/>
  <c r="L23" i="31"/>
  <c r="J23" i="31" s="1"/>
  <c r="K42" i="29"/>
  <c r="K24" i="32" s="1"/>
  <c r="L25" i="31"/>
  <c r="J25" i="31" s="1"/>
  <c r="K44" i="29"/>
  <c r="K26" i="32" s="1"/>
  <c r="L27" i="31"/>
  <c r="J27" i="31" s="1"/>
  <c r="K54" i="29"/>
  <c r="K35" i="32" s="1"/>
  <c r="L37" i="31"/>
  <c r="J37" i="31" s="1"/>
  <c r="K53" i="29"/>
  <c r="K34" i="32" s="1"/>
  <c r="L36" i="31"/>
  <c r="J36" i="31" s="1"/>
  <c r="K77" i="29"/>
  <c r="K57" i="32" s="1"/>
  <c r="L59" i="31"/>
  <c r="J59" i="31" s="1"/>
  <c r="K91" i="29"/>
  <c r="K69" i="32"/>
  <c r="K22" i="32"/>
  <c r="L76" i="29"/>
  <c r="L58" i="31" s="1"/>
  <c r="K26" i="31" l="1"/>
  <c r="I26" i="31" s="1"/>
  <c r="K24" i="31"/>
  <c r="I24" i="31" s="1"/>
  <c r="K28" i="31"/>
  <c r="I28" i="31" s="1"/>
  <c r="K25" i="31"/>
  <c r="I25" i="31" s="1"/>
  <c r="K27" i="31"/>
  <c r="I27" i="31" s="1"/>
  <c r="K29" i="31"/>
  <c r="I29" i="31" s="1"/>
  <c r="K36" i="31"/>
  <c r="I36" i="31" s="1"/>
  <c r="K60" i="31"/>
  <c r="I60" i="31" s="1"/>
  <c r="K61" i="31"/>
  <c r="I61" i="31" s="1"/>
  <c r="K33" i="31"/>
  <c r="I33" i="31" s="1"/>
  <c r="K35" i="31"/>
  <c r="I35" i="31" s="1"/>
  <c r="K59" i="31"/>
  <c r="I59" i="31" s="1"/>
  <c r="K37" i="31"/>
  <c r="I37" i="31" s="1"/>
  <c r="K62" i="31"/>
  <c r="I62" i="31" s="1"/>
  <c r="K34" i="31"/>
  <c r="I34" i="31" s="1"/>
  <c r="K68" i="32"/>
  <c r="AR61" i="29"/>
  <c r="AS61" i="29"/>
  <c r="AT61" i="29"/>
  <c r="AU61" i="29"/>
  <c r="AQ61" i="29"/>
  <c r="AP63" i="29"/>
  <c r="Q63" i="29"/>
  <c r="M63" i="29"/>
  <c r="L63" i="29" s="1"/>
  <c r="L46" i="31" s="1"/>
  <c r="J46" i="31" s="1"/>
  <c r="BB90" i="29"/>
  <c r="AJ90" i="29"/>
  <c r="Q90" i="29"/>
  <c r="N90" i="29"/>
  <c r="L90" i="29" s="1"/>
  <c r="AJ89" i="29"/>
  <c r="Q89" i="29"/>
  <c r="N89" i="29"/>
  <c r="AJ86" i="29"/>
  <c r="Q86" i="29"/>
  <c r="N86" i="29"/>
  <c r="L86" i="29" s="1"/>
  <c r="BV84" i="29"/>
  <c r="BN84" i="29"/>
  <c r="BH84" i="29"/>
  <c r="BH83" i="29" s="1"/>
  <c r="BH76" i="29" s="1"/>
  <c r="BB84" i="29"/>
  <c r="AV84" i="29"/>
  <c r="AP84" i="29"/>
  <c r="AJ84" i="29"/>
  <c r="AD84" i="29"/>
  <c r="X84" i="29"/>
  <c r="Q84" i="29"/>
  <c r="P84" i="29"/>
  <c r="P83" i="29" s="1"/>
  <c r="R65" i="31" s="1"/>
  <c r="O84" i="29"/>
  <c r="O83" i="29" s="1"/>
  <c r="W65" i="31" s="1"/>
  <c r="Q65" i="31" s="1"/>
  <c r="N84" i="29"/>
  <c r="M84" i="29"/>
  <c r="M83" i="29" s="1"/>
  <c r="U65" i="31" s="1"/>
  <c r="O65" i="31" s="1"/>
  <c r="Q83" i="29" l="1"/>
  <c r="Y65" i="31" s="1"/>
  <c r="S65" i="31" s="1"/>
  <c r="AJ83" i="29"/>
  <c r="N83" i="29"/>
  <c r="V65" i="31" s="1"/>
  <c r="P65" i="31" s="1"/>
  <c r="N65" i="31" s="1"/>
  <c r="M65" i="31" s="1"/>
  <c r="L89" i="29"/>
  <c r="K63" i="29"/>
  <c r="K44" i="32" s="1"/>
  <c r="L84" i="29"/>
  <c r="K90" i="29"/>
  <c r="T63" i="32" l="1"/>
  <c r="K46" i="31"/>
  <c r="I46" i="31" s="1"/>
  <c r="K89" i="29"/>
  <c r="K84" i="29"/>
  <c r="K64" i="32" s="1"/>
  <c r="K86" i="29"/>
  <c r="L83" i="29" l="1"/>
  <c r="K66" i="32"/>
  <c r="A55" i="24"/>
  <c r="T82" i="31" l="1"/>
  <c r="M82" i="31" s="1"/>
  <c r="T83" i="32" s="1"/>
  <c r="L65" i="31"/>
  <c r="K83" i="29"/>
  <c r="K107" i="29"/>
  <c r="K83" i="32" s="1"/>
  <c r="BH25" i="28"/>
  <c r="K63" i="32" l="1"/>
  <c r="BI25" i="28" l="1"/>
  <c r="G21" i="24" l="1"/>
  <c r="I49" i="24"/>
  <c r="I48" i="24"/>
  <c r="I44" i="24"/>
  <c r="E22" i="24"/>
  <c r="BV113" i="29"/>
  <c r="BN113" i="29"/>
  <c r="BH113" i="29"/>
  <c r="BB113" i="29"/>
  <c r="AV113" i="29"/>
  <c r="AP113" i="29"/>
  <c r="AJ113" i="29"/>
  <c r="AD113" i="29"/>
  <c r="X113" i="29"/>
  <c r="R113" i="29"/>
  <c r="BV112" i="29"/>
  <c r="BN112" i="29"/>
  <c r="X112" i="29"/>
  <c r="R112" i="29"/>
  <c r="CA111" i="29"/>
  <c r="BV111" i="29"/>
  <c r="BS111" i="29"/>
  <c r="BN111" i="29"/>
  <c r="X111" i="29"/>
  <c r="V111" i="29"/>
  <c r="R111" i="29"/>
  <c r="CA110" i="29"/>
  <c r="BV110" i="29"/>
  <c r="BS110" i="29"/>
  <c r="BN110" i="29"/>
  <c r="BH110" i="29"/>
  <c r="BF110" i="29"/>
  <c r="BB110" i="29"/>
  <c r="AZ110" i="29"/>
  <c r="AV110" i="29"/>
  <c r="AP110" i="29"/>
  <c r="AJ110" i="29"/>
  <c r="AH110" i="29"/>
  <c r="AD110" i="29"/>
  <c r="AB110" i="29"/>
  <c r="X110" i="29"/>
  <c r="V110" i="29"/>
  <c r="R110" i="29"/>
  <c r="CC104" i="29"/>
  <c r="CA104" i="29"/>
  <c r="BZ104" i="29"/>
  <c r="BY104" i="29"/>
  <c r="BX104" i="29"/>
  <c r="BW104" i="29"/>
  <c r="BU104" i="29"/>
  <c r="BS104" i="29"/>
  <c r="BR104" i="29"/>
  <c r="BQ104" i="29"/>
  <c r="BP104" i="29"/>
  <c r="BO104" i="29"/>
  <c r="BM104" i="29"/>
  <c r="BL104" i="29"/>
  <c r="BK104" i="29"/>
  <c r="BJ104" i="29"/>
  <c r="BI104" i="29"/>
  <c r="BG104" i="29"/>
  <c r="BF104" i="29"/>
  <c r="BE104" i="29"/>
  <c r="BD104" i="29"/>
  <c r="BC104" i="29"/>
  <c r="BA104" i="29"/>
  <c r="AZ104" i="29"/>
  <c r="AY104" i="29"/>
  <c r="AX104" i="29"/>
  <c r="AW104" i="29"/>
  <c r="AU104" i="29"/>
  <c r="AT104" i="29"/>
  <c r="AS104" i="29"/>
  <c r="AR104" i="29"/>
  <c r="AQ104" i="29"/>
  <c r="AO104" i="29"/>
  <c r="AN104" i="29"/>
  <c r="AM104" i="29"/>
  <c r="AL104" i="29"/>
  <c r="AK104" i="29"/>
  <c r="AI104" i="29"/>
  <c r="AH104" i="29"/>
  <c r="AG104" i="29"/>
  <c r="AF104" i="29"/>
  <c r="AE104" i="29"/>
  <c r="AC104" i="29"/>
  <c r="AB104" i="29"/>
  <c r="AA104" i="29"/>
  <c r="Z104" i="29"/>
  <c r="Y104" i="29"/>
  <c r="W104" i="29"/>
  <c r="V104" i="29"/>
  <c r="U104" i="29"/>
  <c r="T104" i="29"/>
  <c r="S104" i="29"/>
  <c r="Q104" i="29"/>
  <c r="P104" i="29"/>
  <c r="O104" i="29"/>
  <c r="N104" i="29"/>
  <c r="M104" i="29"/>
  <c r="L104" i="29"/>
  <c r="A100" i="29"/>
  <c r="A99" i="29"/>
  <c r="J104" i="29"/>
  <c r="I104" i="29"/>
  <c r="BV96" i="29"/>
  <c r="BN96" i="29"/>
  <c r="BH96" i="29"/>
  <c r="BB96" i="29"/>
  <c r="AV96" i="29"/>
  <c r="AP96" i="29"/>
  <c r="AD96" i="29"/>
  <c r="AD94" i="29" s="1"/>
  <c r="AD103" i="29" s="1"/>
  <c r="X96" i="29"/>
  <c r="Q96" i="29"/>
  <c r="P96" i="29"/>
  <c r="O96" i="29"/>
  <c r="N96" i="29"/>
  <c r="M96" i="29"/>
  <c r="BV95" i="29"/>
  <c r="BN95" i="29"/>
  <c r="BH95" i="29"/>
  <c r="BB95" i="29"/>
  <c r="AV95" i="29"/>
  <c r="AP95" i="29"/>
  <c r="X95" i="29"/>
  <c r="X94" i="29" s="1"/>
  <c r="X103" i="29" s="1"/>
  <c r="R95" i="29"/>
  <c r="R94" i="29" s="1"/>
  <c r="Q95" i="29"/>
  <c r="P95" i="29"/>
  <c r="O95" i="29"/>
  <c r="N95" i="29"/>
  <c r="M95" i="29"/>
  <c r="CC94" i="29"/>
  <c r="CC103" i="29" s="1"/>
  <c r="CB94" i="29"/>
  <c r="CB103" i="29" s="1"/>
  <c r="CA94" i="29"/>
  <c r="CA103" i="29" s="1"/>
  <c r="BZ94" i="29"/>
  <c r="BZ103" i="29" s="1"/>
  <c r="BY94" i="29"/>
  <c r="BY103" i="29" s="1"/>
  <c r="BX94" i="29"/>
  <c r="BX103" i="29" s="1"/>
  <c r="BW94" i="29"/>
  <c r="BW103" i="29" s="1"/>
  <c r="BU94" i="29"/>
  <c r="BU103" i="29" s="1"/>
  <c r="BT94" i="29"/>
  <c r="BT103" i="29" s="1"/>
  <c r="BS94" i="29"/>
  <c r="BS103" i="29" s="1"/>
  <c r="BR94" i="29"/>
  <c r="BR103" i="29" s="1"/>
  <c r="BQ94" i="29"/>
  <c r="BQ103" i="29" s="1"/>
  <c r="BP94" i="29"/>
  <c r="BP103" i="29" s="1"/>
  <c r="BO94" i="29"/>
  <c r="BO103" i="29" s="1"/>
  <c r="BM94" i="29"/>
  <c r="BL94" i="29"/>
  <c r="BL103" i="29" s="1"/>
  <c r="BK94" i="29"/>
  <c r="BK103" i="29" s="1"/>
  <c r="BJ94" i="29"/>
  <c r="BJ103" i="29" s="1"/>
  <c r="BI94" i="29"/>
  <c r="BG94" i="29"/>
  <c r="BG103" i="29" s="1"/>
  <c r="BF94" i="29"/>
  <c r="BF103" i="29" s="1"/>
  <c r="BE94" i="29"/>
  <c r="BE103" i="29" s="1"/>
  <c r="BD94" i="29"/>
  <c r="BD103" i="29" s="1"/>
  <c r="BC94" i="29"/>
  <c r="BA94" i="29"/>
  <c r="BA103" i="29" s="1"/>
  <c r="AZ94" i="29"/>
  <c r="AZ103" i="29" s="1"/>
  <c r="AY94" i="29"/>
  <c r="AY103" i="29" s="1"/>
  <c r="AX94" i="29"/>
  <c r="AX103" i="29" s="1"/>
  <c r="AW94" i="29"/>
  <c r="AU94" i="29"/>
  <c r="AU103" i="29" s="1"/>
  <c r="AT94" i="29"/>
  <c r="AT103" i="29" s="1"/>
  <c r="AS94" i="29"/>
  <c r="AS103" i="29" s="1"/>
  <c r="AR94" i="29"/>
  <c r="AR103" i="29" s="1"/>
  <c r="AQ94" i="29"/>
  <c r="AO94" i="29"/>
  <c r="AO103" i="29" s="1"/>
  <c r="AN94" i="29"/>
  <c r="AN103" i="29" s="1"/>
  <c r="AM94" i="29"/>
  <c r="AM103" i="29" s="1"/>
  <c r="AL94" i="29"/>
  <c r="AL103" i="29" s="1"/>
  <c r="AK94" i="29"/>
  <c r="AI94" i="29"/>
  <c r="AI103" i="29" s="1"/>
  <c r="AH94" i="29"/>
  <c r="AH103" i="29" s="1"/>
  <c r="AG94" i="29"/>
  <c r="AG103" i="29" s="1"/>
  <c r="AF94" i="29"/>
  <c r="AF103" i="29" s="1"/>
  <c r="AE94" i="29"/>
  <c r="AC94" i="29"/>
  <c r="AC103" i="29" s="1"/>
  <c r="AB94" i="29"/>
  <c r="AB103" i="29" s="1"/>
  <c r="AA94" i="29"/>
  <c r="AA103" i="29" s="1"/>
  <c r="Z94" i="29"/>
  <c r="Z103" i="29" s="1"/>
  <c r="Y94" i="29"/>
  <c r="W94" i="29"/>
  <c r="W103" i="29" s="1"/>
  <c r="V94" i="29"/>
  <c r="V103" i="29" s="1"/>
  <c r="U94" i="29"/>
  <c r="U103" i="29" s="1"/>
  <c r="T94" i="29"/>
  <c r="T103" i="29" s="1"/>
  <c r="S94" i="29"/>
  <c r="J103" i="29"/>
  <c r="I103" i="29"/>
  <c r="BV107" i="29"/>
  <c r="X107" i="29"/>
  <c r="BN107" i="29"/>
  <c r="CC83" i="29"/>
  <c r="CB83" i="29"/>
  <c r="CA83" i="29"/>
  <c r="BZ83" i="29"/>
  <c r="BY83" i="29"/>
  <c r="BX83" i="29"/>
  <c r="BW83" i="29"/>
  <c r="BU83" i="29"/>
  <c r="BT83" i="29"/>
  <c r="BS83" i="29"/>
  <c r="BR83" i="29"/>
  <c r="BQ83" i="29"/>
  <c r="BP83" i="29"/>
  <c r="BO83" i="29"/>
  <c r="BL7" i="29"/>
  <c r="BA83" i="29"/>
  <c r="AZ83" i="29"/>
  <c r="AY83" i="29"/>
  <c r="AX83" i="29"/>
  <c r="AW83" i="29"/>
  <c r="AZ7" i="29" s="1"/>
  <c r="AU83" i="29"/>
  <c r="AT83" i="29"/>
  <c r="AS83" i="29"/>
  <c r="AR83" i="29"/>
  <c r="AQ83" i="29"/>
  <c r="AI83" i="29"/>
  <c r="AH83" i="29"/>
  <c r="AG83" i="29"/>
  <c r="AF83" i="29"/>
  <c r="AE83" i="29"/>
  <c r="AH7" i="29" s="1"/>
  <c r="AC83" i="29"/>
  <c r="AB83" i="29"/>
  <c r="AA83" i="29"/>
  <c r="Z83" i="29"/>
  <c r="Y83" i="29"/>
  <c r="W83" i="29"/>
  <c r="V83" i="29"/>
  <c r="U83" i="29"/>
  <c r="T83" i="29"/>
  <c r="S83" i="29"/>
  <c r="V7" i="29" s="1"/>
  <c r="I102" i="29"/>
  <c r="CC76" i="29"/>
  <c r="CB76" i="29"/>
  <c r="CA76" i="29"/>
  <c r="BZ76" i="29"/>
  <c r="BY76" i="29"/>
  <c r="BX76" i="29"/>
  <c r="BW76" i="29"/>
  <c r="BU76" i="29"/>
  <c r="BT76" i="29"/>
  <c r="BS76" i="29"/>
  <c r="BR76" i="29"/>
  <c r="BQ76" i="29"/>
  <c r="BP76" i="29"/>
  <c r="BO76" i="29"/>
  <c r="BA76" i="29"/>
  <c r="AZ76" i="29"/>
  <c r="AY76" i="29"/>
  <c r="AX76" i="29"/>
  <c r="AW76" i="29"/>
  <c r="AU76" i="29"/>
  <c r="AT76" i="29"/>
  <c r="AS76" i="29"/>
  <c r="AR76" i="29"/>
  <c r="AQ76" i="29"/>
  <c r="AO76" i="29"/>
  <c r="AN76" i="29"/>
  <c r="AM76" i="29"/>
  <c r="AL76" i="29"/>
  <c r="AK76" i="29"/>
  <c r="AI76" i="29"/>
  <c r="AH76" i="29"/>
  <c r="AG76" i="29"/>
  <c r="AF76" i="29"/>
  <c r="AE76" i="29"/>
  <c r="AC76" i="29"/>
  <c r="AB76" i="29"/>
  <c r="AA76" i="29"/>
  <c r="Z76" i="29"/>
  <c r="Y76" i="29"/>
  <c r="W76" i="29"/>
  <c r="V76" i="29"/>
  <c r="U76" i="29"/>
  <c r="T76" i="29"/>
  <c r="S76" i="29"/>
  <c r="CC70" i="29"/>
  <c r="CB70" i="29"/>
  <c r="CA70" i="29"/>
  <c r="BZ70" i="29"/>
  <c r="BY70" i="29"/>
  <c r="BX70" i="29"/>
  <c r="BW70" i="29"/>
  <c r="BU70" i="29"/>
  <c r="BT70" i="29"/>
  <c r="BS70" i="29"/>
  <c r="BR70" i="29"/>
  <c r="BQ70" i="29"/>
  <c r="BP70" i="29"/>
  <c r="BO70" i="29"/>
  <c r="CC66" i="29"/>
  <c r="CB66" i="29"/>
  <c r="CA66" i="29"/>
  <c r="BZ66" i="29"/>
  <c r="BY66" i="29"/>
  <c r="BX66" i="29"/>
  <c r="BW66" i="29"/>
  <c r="BU66" i="29"/>
  <c r="BT66" i="29"/>
  <c r="BS66" i="29"/>
  <c r="BR66" i="29"/>
  <c r="BQ66" i="29"/>
  <c r="BP66" i="29"/>
  <c r="BO66" i="29"/>
  <c r="AV66" i="29"/>
  <c r="AU66" i="29"/>
  <c r="AT66" i="29"/>
  <c r="AS66" i="29"/>
  <c r="AR66" i="29"/>
  <c r="AQ66" i="29"/>
  <c r="AO66" i="29"/>
  <c r="AN66" i="29"/>
  <c r="AM66" i="29"/>
  <c r="AL66" i="29"/>
  <c r="AK66" i="29"/>
  <c r="AI66" i="29"/>
  <c r="AH66" i="29"/>
  <c r="AG66" i="29"/>
  <c r="AF66" i="29"/>
  <c r="AE66" i="29"/>
  <c r="AC66" i="29"/>
  <c r="AB66" i="29"/>
  <c r="AA66" i="29"/>
  <c r="Z66" i="29"/>
  <c r="Y66" i="29"/>
  <c r="W66" i="29"/>
  <c r="V66" i="29"/>
  <c r="U66" i="29"/>
  <c r="T66" i="29"/>
  <c r="S66" i="29"/>
  <c r="CC61" i="29"/>
  <c r="CB61" i="29"/>
  <c r="CA61" i="29"/>
  <c r="BZ61" i="29"/>
  <c r="BY61" i="29"/>
  <c r="BX61" i="29"/>
  <c r="BW61" i="29"/>
  <c r="BU61" i="29"/>
  <c r="BT61" i="29"/>
  <c r="BS61" i="29"/>
  <c r="BR61" i="29"/>
  <c r="BQ61" i="29"/>
  <c r="BP61" i="29"/>
  <c r="BO61" i="29"/>
  <c r="BA61" i="29"/>
  <c r="AZ61" i="29"/>
  <c r="AY61" i="29"/>
  <c r="AX61" i="29"/>
  <c r="AO61" i="29"/>
  <c r="AN61" i="29"/>
  <c r="AM61" i="29"/>
  <c r="AL61" i="29"/>
  <c r="AK61" i="29"/>
  <c r="AI61" i="29"/>
  <c r="AH61" i="29"/>
  <c r="AG61" i="29"/>
  <c r="AF61" i="29"/>
  <c r="AE61" i="29"/>
  <c r="AC61" i="29"/>
  <c r="AB61" i="29"/>
  <c r="AA61" i="29"/>
  <c r="Z61" i="29"/>
  <c r="Y61" i="29"/>
  <c r="W61" i="29"/>
  <c r="V61" i="29"/>
  <c r="U61" i="29"/>
  <c r="T61" i="29"/>
  <c r="S61" i="29"/>
  <c r="CC48" i="29"/>
  <c r="CB48" i="29"/>
  <c r="CA48" i="29"/>
  <c r="BZ48" i="29"/>
  <c r="BY48" i="29"/>
  <c r="BX48" i="29"/>
  <c r="BW48" i="29"/>
  <c r="BU48" i="29"/>
  <c r="BT48" i="29"/>
  <c r="BS48" i="29"/>
  <c r="BR48" i="29"/>
  <c r="BQ48" i="29"/>
  <c r="BP48" i="29"/>
  <c r="BO48" i="29"/>
  <c r="BA48" i="29"/>
  <c r="AZ48" i="29"/>
  <c r="AY48" i="29"/>
  <c r="AX48" i="29"/>
  <c r="AW48" i="29"/>
  <c r="AU48" i="29"/>
  <c r="AT48" i="29"/>
  <c r="AS48" i="29"/>
  <c r="AR48" i="29"/>
  <c r="AQ48" i="29"/>
  <c r="AO48" i="29"/>
  <c r="AN48" i="29"/>
  <c r="AM48" i="29"/>
  <c r="AL48" i="29"/>
  <c r="AK48" i="29"/>
  <c r="AI48" i="29"/>
  <c r="AH48" i="29"/>
  <c r="AG48" i="29"/>
  <c r="AF48" i="29"/>
  <c r="AE48" i="29"/>
  <c r="AC48" i="29"/>
  <c r="AB48" i="29"/>
  <c r="AA48" i="29"/>
  <c r="Z48" i="29"/>
  <c r="Y48" i="29"/>
  <c r="W48" i="29"/>
  <c r="V48" i="29"/>
  <c r="U48" i="29"/>
  <c r="T48" i="29"/>
  <c r="S48" i="29"/>
  <c r="CC39" i="29"/>
  <c r="CB39" i="29"/>
  <c r="CA39" i="29"/>
  <c r="BZ39" i="29"/>
  <c r="BY39" i="29"/>
  <c r="BX39" i="29"/>
  <c r="BW39" i="29"/>
  <c r="BU39" i="29"/>
  <c r="BT39" i="29"/>
  <c r="BS39" i="29"/>
  <c r="BR39" i="29"/>
  <c r="BQ39" i="29"/>
  <c r="BP39" i="29"/>
  <c r="BO39" i="29"/>
  <c r="BA39" i="29"/>
  <c r="AZ39" i="29"/>
  <c r="AY39" i="29"/>
  <c r="AX39" i="29"/>
  <c r="AW39" i="29"/>
  <c r="AU39" i="29"/>
  <c r="AT39" i="29"/>
  <c r="AS39" i="29"/>
  <c r="AR39" i="29"/>
  <c r="AQ39" i="29"/>
  <c r="AO39" i="29"/>
  <c r="AN39" i="29"/>
  <c r="AM39" i="29"/>
  <c r="AL39" i="29"/>
  <c r="AK39" i="29"/>
  <c r="AI39" i="29"/>
  <c r="AH39" i="29"/>
  <c r="AG39" i="29"/>
  <c r="AF39" i="29"/>
  <c r="AE39" i="29"/>
  <c r="AC39" i="29"/>
  <c r="AB39" i="29"/>
  <c r="AA39" i="29"/>
  <c r="Z39" i="29"/>
  <c r="Y39" i="29"/>
  <c r="W39" i="29"/>
  <c r="V39" i="29"/>
  <c r="U39" i="29"/>
  <c r="T39" i="29"/>
  <c r="S39" i="29"/>
  <c r="BV37" i="29"/>
  <c r="BN37" i="29"/>
  <c r="BB37" i="29"/>
  <c r="AV37" i="29"/>
  <c r="AP37" i="29"/>
  <c r="AJ37" i="29"/>
  <c r="AD37" i="29"/>
  <c r="X37" i="29"/>
  <c r="R37" i="29"/>
  <c r="Q37" i="29"/>
  <c r="P37" i="29"/>
  <c r="O37" i="29"/>
  <c r="N37" i="29"/>
  <c r="M37" i="29"/>
  <c r="BV36" i="29"/>
  <c r="BN36" i="29"/>
  <c r="BB36" i="29"/>
  <c r="AV36" i="29"/>
  <c r="AP36" i="29"/>
  <c r="AJ36" i="29"/>
  <c r="AD36" i="29"/>
  <c r="X36" i="29"/>
  <c r="R36" i="29"/>
  <c r="Q36" i="29"/>
  <c r="P36" i="29"/>
  <c r="O36" i="29"/>
  <c r="N36" i="29"/>
  <c r="M36" i="29"/>
  <c r="BV35" i="29"/>
  <c r="BN35" i="29"/>
  <c r="BB35" i="29"/>
  <c r="AV35" i="29"/>
  <c r="AP35" i="29"/>
  <c r="AJ35" i="29"/>
  <c r="AD35" i="29"/>
  <c r="X35" i="29"/>
  <c r="R35" i="29"/>
  <c r="Q35" i="29"/>
  <c r="P35" i="29"/>
  <c r="O35" i="29"/>
  <c r="N35" i="29"/>
  <c r="M35" i="29"/>
  <c r="CC34" i="29"/>
  <c r="CB34" i="29"/>
  <c r="CA34" i="29"/>
  <c r="BZ34" i="29"/>
  <c r="BY34" i="29"/>
  <c r="BX34" i="29"/>
  <c r="BW34" i="29"/>
  <c r="BU34" i="29"/>
  <c r="BT34" i="29"/>
  <c r="BS34" i="29"/>
  <c r="BR34" i="29"/>
  <c r="BQ34" i="29"/>
  <c r="BP34" i="29"/>
  <c r="BO34" i="29"/>
  <c r="BA34" i="29"/>
  <c r="AZ34" i="29"/>
  <c r="AY34" i="29"/>
  <c r="AX34" i="29"/>
  <c r="AW34" i="29"/>
  <c r="AU34" i="29"/>
  <c r="AT34" i="29"/>
  <c r="AS34" i="29"/>
  <c r="AR34" i="29"/>
  <c r="AQ34" i="29"/>
  <c r="AO34" i="29"/>
  <c r="AN34" i="29"/>
  <c r="AM34" i="29"/>
  <c r="AL34" i="29"/>
  <c r="AK34" i="29"/>
  <c r="AI34" i="29"/>
  <c r="AH34" i="29"/>
  <c r="AG34" i="29"/>
  <c r="AF34" i="29"/>
  <c r="AE34" i="29"/>
  <c r="AC34" i="29"/>
  <c r="AB34" i="29"/>
  <c r="AA34" i="29"/>
  <c r="Z34" i="29"/>
  <c r="Y34" i="29"/>
  <c r="W34" i="29"/>
  <c r="V34" i="29"/>
  <c r="U34" i="29"/>
  <c r="T34" i="29"/>
  <c r="S34" i="29"/>
  <c r="BV32" i="29"/>
  <c r="BN32" i="29"/>
  <c r="BB32" i="29"/>
  <c r="AV32" i="29"/>
  <c r="AP32" i="29"/>
  <c r="AJ32" i="29"/>
  <c r="AD32" i="29"/>
  <c r="X32" i="29"/>
  <c r="R32" i="29"/>
  <c r="Q32" i="29"/>
  <c r="P32" i="29"/>
  <c r="O32" i="29"/>
  <c r="BV31" i="29"/>
  <c r="BN31" i="29"/>
  <c r="BB31" i="29"/>
  <c r="AV31" i="29"/>
  <c r="AP31" i="29"/>
  <c r="AJ31" i="29"/>
  <c r="AD31" i="29"/>
  <c r="X31" i="29"/>
  <c r="R31" i="29"/>
  <c r="Q31" i="29"/>
  <c r="P31" i="29"/>
  <c r="O31" i="29"/>
  <c r="BV30" i="29"/>
  <c r="BN30" i="29"/>
  <c r="BB30" i="29"/>
  <c r="AV30" i="29"/>
  <c r="AP30" i="29"/>
  <c r="AJ30" i="29"/>
  <c r="AD30" i="29"/>
  <c r="X30" i="29"/>
  <c r="R30" i="29"/>
  <c r="Q30" i="29"/>
  <c r="P30" i="29"/>
  <c r="O30" i="29"/>
  <c r="N30" i="29"/>
  <c r="M30" i="29"/>
  <c r="CC29" i="29"/>
  <c r="CB29" i="29"/>
  <c r="CA29" i="29"/>
  <c r="BZ29" i="29"/>
  <c r="BY29" i="29"/>
  <c r="BX29" i="29"/>
  <c r="BW29" i="29"/>
  <c r="BU29" i="29"/>
  <c r="BT29" i="29"/>
  <c r="BS29" i="29"/>
  <c r="BR29" i="29"/>
  <c r="BQ29" i="29"/>
  <c r="BP29" i="29"/>
  <c r="BO29" i="29"/>
  <c r="BM29" i="29"/>
  <c r="BL29" i="29"/>
  <c r="BK29" i="29"/>
  <c r="BJ29" i="29"/>
  <c r="BI29" i="29"/>
  <c r="BF29" i="29"/>
  <c r="BE29" i="29"/>
  <c r="BD29" i="29"/>
  <c r="BC29" i="29"/>
  <c r="BA29" i="29"/>
  <c r="AZ29" i="29"/>
  <c r="AY29" i="29"/>
  <c r="AX29" i="29"/>
  <c r="AW29" i="29"/>
  <c r="AU29" i="29"/>
  <c r="AT29" i="29"/>
  <c r="AS29" i="29"/>
  <c r="AR29" i="29"/>
  <c r="AQ29" i="29"/>
  <c r="AO29" i="29"/>
  <c r="AN29" i="29"/>
  <c r="AM29" i="29"/>
  <c r="AL29" i="29"/>
  <c r="AK29" i="29"/>
  <c r="AI29" i="29"/>
  <c r="AH29" i="29"/>
  <c r="AG29" i="29"/>
  <c r="AF29" i="29"/>
  <c r="AE29" i="29"/>
  <c r="AC29" i="29"/>
  <c r="AB29" i="29"/>
  <c r="AA29" i="29"/>
  <c r="Z29" i="29"/>
  <c r="Y29" i="29"/>
  <c r="W29" i="29"/>
  <c r="V29" i="29"/>
  <c r="U29" i="29"/>
  <c r="T29" i="29"/>
  <c r="S29" i="29"/>
  <c r="I101" i="29"/>
  <c r="BB24" i="28"/>
  <c r="V5" i="29" s="1"/>
  <c r="BC24" i="28"/>
  <c r="BE24" i="28"/>
  <c r="W5" i="29" s="1"/>
  <c r="BF24" i="28"/>
  <c r="AC5" i="29" s="1"/>
  <c r="BH24" i="28"/>
  <c r="BI24" i="28"/>
  <c r="BJ24" i="28"/>
  <c r="BK24" i="28"/>
  <c r="BL24" i="28"/>
  <c r="BM24" i="28"/>
  <c r="BB25" i="28"/>
  <c r="AH5" i="29" s="1"/>
  <c r="BC25" i="28"/>
  <c r="AN5" i="29" s="1"/>
  <c r="BE25" i="28"/>
  <c r="AI5" i="29" s="1"/>
  <c r="BF25" i="28"/>
  <c r="AO5" i="29" s="1"/>
  <c r="BK25" i="28"/>
  <c r="BL25" i="28"/>
  <c r="BM25" i="28"/>
  <c r="BB26" i="28"/>
  <c r="AT5" i="29" s="1"/>
  <c r="BC26" i="28"/>
  <c r="AZ5" i="29" s="1"/>
  <c r="BE26" i="28"/>
  <c r="BF26" i="28"/>
  <c r="BA5" i="29" s="1"/>
  <c r="BH26" i="28"/>
  <c r="BI26" i="28"/>
  <c r="BJ26" i="28"/>
  <c r="BK26" i="28"/>
  <c r="BL26" i="28"/>
  <c r="BM26" i="28"/>
  <c r="BB27" i="28"/>
  <c r="BF5" i="29" s="1"/>
  <c r="BC27" i="28"/>
  <c r="BL5" i="29" s="1"/>
  <c r="BE27" i="28"/>
  <c r="BF27" i="28"/>
  <c r="BM5" i="29" s="1"/>
  <c r="BH27" i="28"/>
  <c r="BI27" i="28"/>
  <c r="BJ27" i="28"/>
  <c r="BK27" i="28"/>
  <c r="BL27" i="28"/>
  <c r="BM27" i="28"/>
  <c r="BB28" i="28"/>
  <c r="BS5" i="29" s="1"/>
  <c r="BC28" i="28"/>
  <c r="CA5" i="29" s="1"/>
  <c r="BV108" i="29" s="1"/>
  <c r="BE28" i="28"/>
  <c r="BU5" i="29" s="1"/>
  <c r="BF28" i="28"/>
  <c r="CC5" i="29" s="1"/>
  <c r="BH28" i="28"/>
  <c r="BI28" i="28"/>
  <c r="BJ28" i="28"/>
  <c r="BK28" i="28"/>
  <c r="BL28" i="28"/>
  <c r="BM28" i="28"/>
  <c r="B35" i="28"/>
  <c r="B36" i="28"/>
  <c r="B37" i="28"/>
  <c r="B38" i="28"/>
  <c r="B39" i="28"/>
  <c r="B40" i="28"/>
  <c r="B41" i="28"/>
  <c r="B42" i="28"/>
  <c r="B43" i="28"/>
  <c r="B44" i="28"/>
  <c r="B45" i="28"/>
  <c r="D6" i="24"/>
  <c r="D22" i="24" s="1"/>
  <c r="A81" i="24"/>
  <c r="B81" i="24"/>
  <c r="A82" i="24"/>
  <c r="B82" i="24"/>
  <c r="A83" i="24"/>
  <c r="B83" i="24"/>
  <c r="A84" i="24"/>
  <c r="B84" i="24"/>
  <c r="A85" i="24"/>
  <c r="B85" i="24"/>
  <c r="A86" i="24"/>
  <c r="B86" i="24"/>
  <c r="A87" i="24"/>
  <c r="B87" i="24"/>
  <c r="A88" i="24"/>
  <c r="B88" i="24"/>
  <c r="A89" i="24"/>
  <c r="B89" i="24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99" i="24"/>
  <c r="B99" i="24"/>
  <c r="A69" i="24"/>
  <c r="A70" i="24"/>
  <c r="A72" i="24"/>
  <c r="A73" i="24"/>
  <c r="A74" i="24"/>
  <c r="A75" i="24"/>
  <c r="A76" i="24"/>
  <c r="A77" i="24"/>
  <c r="A68" i="24"/>
  <c r="B80" i="24"/>
  <c r="A80" i="24"/>
  <c r="J101" i="29"/>
  <c r="AJ94" i="29"/>
  <c r="AJ103" i="29" s="1"/>
  <c r="S103" i="29" l="1"/>
  <c r="V8" i="29"/>
  <c r="AE103" i="29"/>
  <c r="AH8" i="29"/>
  <c r="AQ103" i="29"/>
  <c r="AT8" i="29"/>
  <c r="BC103" i="29"/>
  <c r="BF8" i="29"/>
  <c r="Y103" i="29"/>
  <c r="AB8" i="29"/>
  <c r="AK103" i="29"/>
  <c r="AN8" i="29"/>
  <c r="AW103" i="29"/>
  <c r="AZ8" i="29"/>
  <c r="AB7" i="29"/>
  <c r="AT7" i="29"/>
  <c r="BF7" i="29"/>
  <c r="BI103" i="29"/>
  <c r="BL8" i="29"/>
  <c r="AV94" i="29"/>
  <c r="AV103" i="29" s="1"/>
  <c r="BV94" i="29"/>
  <c r="BV103" i="29" s="1"/>
  <c r="AK47" i="29"/>
  <c r="O94" i="29"/>
  <c r="O103" i="29" s="1"/>
  <c r="N66" i="29"/>
  <c r="K111" i="29"/>
  <c r="H46" i="24" s="1"/>
  <c r="I46" i="24" s="1"/>
  <c r="L32" i="29"/>
  <c r="L15" i="31" s="1"/>
  <c r="J15" i="31" s="1"/>
  <c r="Q70" i="29"/>
  <c r="BH94" i="29"/>
  <c r="BH103" i="29" s="1"/>
  <c r="K110" i="29"/>
  <c r="H45" i="24" s="1"/>
  <c r="I45" i="24" s="1"/>
  <c r="AP94" i="29"/>
  <c r="AP103" i="29" s="1"/>
  <c r="BB94" i="29"/>
  <c r="BB103" i="29" s="1"/>
  <c r="BN94" i="29"/>
  <c r="BN103" i="29" s="1"/>
  <c r="BG28" i="28"/>
  <c r="BN28" i="28" s="1"/>
  <c r="L31" i="29"/>
  <c r="BM103" i="29"/>
  <c r="BD28" i="28"/>
  <c r="BG25" i="28"/>
  <c r="BF29" i="28"/>
  <c r="AR102" i="29"/>
  <c r="AI102" i="29"/>
  <c r="AW102" i="29"/>
  <c r="AY102" i="29"/>
  <c r="BF102" i="29"/>
  <c r="BG102" i="29"/>
  <c r="BI102" i="29"/>
  <c r="R107" i="29"/>
  <c r="AD107" i="29"/>
  <c r="BE29" i="28"/>
  <c r="BD26" i="28"/>
  <c r="AL102" i="29"/>
  <c r="AN102" i="29"/>
  <c r="AO102" i="29"/>
  <c r="AX102" i="29"/>
  <c r="BE102" i="29"/>
  <c r="BP102" i="29"/>
  <c r="BR102" i="29"/>
  <c r="BT102" i="29"/>
  <c r="BW102" i="29"/>
  <c r="BY102" i="29"/>
  <c r="CA102" i="29"/>
  <c r="CC102" i="29"/>
  <c r="AP107" i="29"/>
  <c r="BA102" i="29"/>
  <c r="BC102" i="29"/>
  <c r="BB107" i="29"/>
  <c r="AJ107" i="29"/>
  <c r="BG24" i="28"/>
  <c r="I105" i="29"/>
  <c r="BH107" i="29"/>
  <c r="BB83" i="29"/>
  <c r="AO47" i="29"/>
  <c r="AO38" i="29" s="1"/>
  <c r="AO28" i="29" s="1"/>
  <c r="BA47" i="29"/>
  <c r="BA38" i="29" s="1"/>
  <c r="BA28" i="29" s="1"/>
  <c r="BM28" i="29"/>
  <c r="T47" i="29"/>
  <c r="T38" i="29" s="1"/>
  <c r="T28" i="29" s="1"/>
  <c r="BO47" i="29"/>
  <c r="BO38" i="29" s="1"/>
  <c r="BO28" i="29" s="1"/>
  <c r="R76" i="29"/>
  <c r="BN76" i="29"/>
  <c r="AV107" i="29"/>
  <c r="AJ76" i="29"/>
  <c r="P111" i="29"/>
  <c r="P110" i="29"/>
  <c r="M94" i="29"/>
  <c r="M103" i="29" s="1"/>
  <c r="BB29" i="28"/>
  <c r="BD27" i="28"/>
  <c r="BK29" i="28"/>
  <c r="BM29" i="28"/>
  <c r="AC47" i="29"/>
  <c r="AC38" i="29" s="1"/>
  <c r="AC28" i="29" s="1"/>
  <c r="CC47" i="29"/>
  <c r="CC38" i="29" s="1"/>
  <c r="CC28" i="29" s="1"/>
  <c r="AD83" i="29"/>
  <c r="BN83" i="29"/>
  <c r="AP83" i="29"/>
  <c r="R83" i="29"/>
  <c r="W47" i="29"/>
  <c r="W38" i="29" s="1"/>
  <c r="W28" i="29" s="1"/>
  <c r="Y47" i="29"/>
  <c r="Y38" i="29" s="1"/>
  <c r="Y28" i="29" s="1"/>
  <c r="AW47" i="29"/>
  <c r="BX47" i="29"/>
  <c r="BX38" i="29" s="1"/>
  <c r="Z47" i="29"/>
  <c r="Z38" i="29" s="1"/>
  <c r="Z28" i="29" s="1"/>
  <c r="AL47" i="29"/>
  <c r="AL38" i="29" s="1"/>
  <c r="AL28" i="29" s="1"/>
  <c r="AX47" i="29"/>
  <c r="AX38" i="29" s="1"/>
  <c r="AX28" i="29" s="1"/>
  <c r="BJ28" i="29"/>
  <c r="BW47" i="29"/>
  <c r="BW38" i="29" s="1"/>
  <c r="BW28" i="29" s="1"/>
  <c r="BY47" i="29"/>
  <c r="BY38" i="29" s="1"/>
  <c r="BY28" i="29" s="1"/>
  <c r="AW38" i="29"/>
  <c r="AW28" i="29" s="1"/>
  <c r="J105" i="29"/>
  <c r="P102" i="29"/>
  <c r="N94" i="29"/>
  <c r="N103" i="29" s="1"/>
  <c r="P94" i="29"/>
  <c r="P103" i="29" s="1"/>
  <c r="AD39" i="29"/>
  <c r="BV39" i="29"/>
  <c r="X48" i="29"/>
  <c r="AG47" i="29"/>
  <c r="AG38" i="29" s="1"/>
  <c r="AG28" i="29" s="1"/>
  <c r="AJ48" i="29"/>
  <c r="AV48" i="29"/>
  <c r="BE28" i="29"/>
  <c r="BV48" i="29"/>
  <c r="Q66" i="29"/>
  <c r="P70" i="29"/>
  <c r="BB76" i="29"/>
  <c r="N91" i="29"/>
  <c r="O91" i="29"/>
  <c r="Q94" i="29"/>
  <c r="Q103" i="29" s="1"/>
  <c r="R106" i="29"/>
  <c r="AD106" i="29"/>
  <c r="AP106" i="29"/>
  <c r="BB106" i="29"/>
  <c r="O29" i="29"/>
  <c r="R29" i="29"/>
  <c r="AD29" i="29"/>
  <c r="AP29" i="29"/>
  <c r="BB29" i="29"/>
  <c r="BH29" i="29"/>
  <c r="M34" i="29"/>
  <c r="O34" i="29"/>
  <c r="L36" i="29"/>
  <c r="O61" i="29"/>
  <c r="M66" i="29"/>
  <c r="O66" i="29"/>
  <c r="X66" i="29"/>
  <c r="P66" i="29"/>
  <c r="AJ66" i="29"/>
  <c r="BV66" i="29"/>
  <c r="L35" i="29"/>
  <c r="N34" i="29"/>
  <c r="O39" i="29"/>
  <c r="R39" i="29"/>
  <c r="AJ39" i="29"/>
  <c r="AV39" i="29"/>
  <c r="R48" i="29"/>
  <c r="AA47" i="29"/>
  <c r="AA38" i="29" s="1"/>
  <c r="AA28" i="29" s="1"/>
  <c r="AD48" i="29"/>
  <c r="AK38" i="29"/>
  <c r="AK28" i="29" s="1"/>
  <c r="AM47" i="29"/>
  <c r="AM38" i="29" s="1"/>
  <c r="AM28" i="29" s="1"/>
  <c r="AP48" i="29"/>
  <c r="AR47" i="29"/>
  <c r="AR38" i="29" s="1"/>
  <c r="AR28" i="29" s="1"/>
  <c r="AY47" i="29"/>
  <c r="AY38" i="29" s="1"/>
  <c r="BB48" i="29"/>
  <c r="BN48" i="29"/>
  <c r="BZ47" i="29"/>
  <c r="BZ38" i="29" s="1"/>
  <c r="CB47" i="29"/>
  <c r="CB38" i="29" s="1"/>
  <c r="CB28" i="29" s="1"/>
  <c r="N48" i="29"/>
  <c r="X61" i="29"/>
  <c r="P61" i="29"/>
  <c r="AJ61" i="29"/>
  <c r="AV61" i="29"/>
  <c r="BV61" i="29"/>
  <c r="N70" i="29"/>
  <c r="O70" i="29"/>
  <c r="BV70" i="29"/>
  <c r="V102" i="29"/>
  <c r="W102" i="29"/>
  <c r="Y102" i="29"/>
  <c r="AA102" i="29"/>
  <c r="AF102" i="29"/>
  <c r="AH102" i="29"/>
  <c r="BK102" i="29"/>
  <c r="BO102" i="29"/>
  <c r="BQ102" i="29"/>
  <c r="BS102" i="29"/>
  <c r="BU102" i="29"/>
  <c r="BX102" i="29"/>
  <c r="BZ102" i="29"/>
  <c r="CB102" i="29"/>
  <c r="X39" i="29"/>
  <c r="N61" i="29"/>
  <c r="Q48" i="29"/>
  <c r="M29" i="29"/>
  <c r="P29" i="29"/>
  <c r="X29" i="29"/>
  <c r="AJ29" i="29"/>
  <c r="AV29" i="29"/>
  <c r="P34" i="29"/>
  <c r="Q34" i="29"/>
  <c r="X34" i="29"/>
  <c r="AJ34" i="29"/>
  <c r="AV34" i="29"/>
  <c r="BV34" i="29"/>
  <c r="N39" i="29"/>
  <c r="P39" i="29"/>
  <c r="Q39" i="29"/>
  <c r="BN39" i="29"/>
  <c r="BB39" i="29"/>
  <c r="S47" i="29"/>
  <c r="S38" i="29" s="1"/>
  <c r="S28" i="29" s="1"/>
  <c r="U47" i="29"/>
  <c r="U38" i="29" s="1"/>
  <c r="U28" i="29" s="1"/>
  <c r="AE47" i="29"/>
  <c r="AE38" i="29" s="1"/>
  <c r="AE28" i="29" s="1"/>
  <c r="AS47" i="29"/>
  <c r="AS38" i="29" s="1"/>
  <c r="AS28" i="29" s="1"/>
  <c r="BC28" i="29"/>
  <c r="BP47" i="29"/>
  <c r="BP38" i="29" s="1"/>
  <c r="BP28" i="29" s="1"/>
  <c r="BR47" i="29"/>
  <c r="BR38" i="29" s="1"/>
  <c r="BR28" i="29" s="1"/>
  <c r="R61" i="29"/>
  <c r="AD61" i="29"/>
  <c r="Q61" i="29"/>
  <c r="BB61" i="29"/>
  <c r="BN61" i="29"/>
  <c r="BQ47" i="29"/>
  <c r="BQ38" i="29" s="1"/>
  <c r="BQ28" i="29" s="1"/>
  <c r="BN70" i="29"/>
  <c r="S102" i="29"/>
  <c r="U102" i="29"/>
  <c r="Z102" i="29"/>
  <c r="AB102" i="29"/>
  <c r="AC102" i="29"/>
  <c r="AE102" i="29"/>
  <c r="AG102" i="29"/>
  <c r="AT102" i="29"/>
  <c r="AU102" i="29"/>
  <c r="BD102" i="29"/>
  <c r="X83" i="29"/>
  <c r="AV83" i="29"/>
  <c r="BV83" i="29"/>
  <c r="R103" i="29"/>
  <c r="M61" i="29"/>
  <c r="AQ47" i="29"/>
  <c r="AQ38" i="29" s="1"/>
  <c r="AQ28" i="29" s="1"/>
  <c r="AP61" i="29"/>
  <c r="BV109" i="29"/>
  <c r="K112" i="29"/>
  <c r="K113" i="29"/>
  <c r="BG5" i="29"/>
  <c r="BG27" i="28"/>
  <c r="AU5" i="29"/>
  <c r="BG26" i="28"/>
  <c r="AB5" i="29"/>
  <c r="BD24" i="28"/>
  <c r="BC29" i="28"/>
  <c r="BN106" i="29"/>
  <c r="BI29" i="28"/>
  <c r="BD25" i="28"/>
  <c r="BN25" i="28" s="1"/>
  <c r="BN29" i="29"/>
  <c r="AP39" i="29"/>
  <c r="BH29" i="28"/>
  <c r="X106" i="29"/>
  <c r="AJ106" i="29"/>
  <c r="AV106" i="29"/>
  <c r="BH106" i="29"/>
  <c r="BV106" i="29"/>
  <c r="L30" i="29"/>
  <c r="L13" i="31" s="1"/>
  <c r="J13" i="31" s="1"/>
  <c r="N29" i="29"/>
  <c r="BV29" i="29"/>
  <c r="Q29" i="29"/>
  <c r="R34" i="29"/>
  <c r="AD34" i="29"/>
  <c r="AP34" i="29"/>
  <c r="BB34" i="29"/>
  <c r="BN34" i="29"/>
  <c r="L37" i="29"/>
  <c r="L20" i="31" s="1"/>
  <c r="J20" i="31" s="1"/>
  <c r="M39" i="29"/>
  <c r="V47" i="29"/>
  <c r="V38" i="29" s="1"/>
  <c r="V28" i="29" s="1"/>
  <c r="AH47" i="29"/>
  <c r="AH38" i="29" s="1"/>
  <c r="AH28" i="29" s="1"/>
  <c r="AT47" i="29"/>
  <c r="AT38" i="29" s="1"/>
  <c r="AT28" i="29" s="1"/>
  <c r="AU47" i="29"/>
  <c r="AU38" i="29" s="1"/>
  <c r="AU28" i="29" s="1"/>
  <c r="BF28" i="29"/>
  <c r="BS47" i="29"/>
  <c r="BS38" i="29" s="1"/>
  <c r="BU47" i="29"/>
  <c r="BU38" i="29" s="1"/>
  <c r="M48" i="29"/>
  <c r="O48" i="29"/>
  <c r="R66" i="29"/>
  <c r="AD66" i="29"/>
  <c r="AF47" i="29"/>
  <c r="AF38" i="29" s="1"/>
  <c r="AP66" i="29"/>
  <c r="BB66" i="29"/>
  <c r="BN66" i="29"/>
  <c r="M70" i="29"/>
  <c r="AD76" i="29"/>
  <c r="AP76" i="29"/>
  <c r="T102" i="29"/>
  <c r="AK102" i="29"/>
  <c r="AM102" i="29"/>
  <c r="AZ102" i="29"/>
  <c r="L96" i="29"/>
  <c r="AV76" i="29"/>
  <c r="AQ102" i="29"/>
  <c r="AS102" i="29"/>
  <c r="BJ29" i="28"/>
  <c r="BL29" i="28"/>
  <c r="AB47" i="29"/>
  <c r="AB38" i="29" s="1"/>
  <c r="AB28" i="29" s="1"/>
  <c r="AI47" i="29"/>
  <c r="AI38" i="29" s="1"/>
  <c r="AN47" i="29"/>
  <c r="AN38" i="29" s="1"/>
  <c r="AN28" i="29" s="1"/>
  <c r="AZ47" i="29"/>
  <c r="AZ38" i="29" s="1"/>
  <c r="AZ28" i="29" s="1"/>
  <c r="BG28" i="29"/>
  <c r="CA47" i="29"/>
  <c r="CA38" i="29" s="1"/>
  <c r="CA28" i="29" s="1"/>
  <c r="P48" i="29"/>
  <c r="BT47" i="29"/>
  <c r="BT38" i="29" s="1"/>
  <c r="BT28" i="29" s="1"/>
  <c r="R70" i="29"/>
  <c r="X76" i="29"/>
  <c r="BV76" i="29"/>
  <c r="BJ102" i="29"/>
  <c r="BL102" i="29"/>
  <c r="BM102" i="29"/>
  <c r="L95" i="29"/>
  <c r="L70" i="31" s="1"/>
  <c r="K32" i="29" l="1"/>
  <c r="K14" i="32" s="1"/>
  <c r="BX28" i="29"/>
  <c r="BX101" i="29" s="1"/>
  <c r="BX105" i="29" s="1"/>
  <c r="BS28" i="29"/>
  <c r="BS101" i="29" s="1"/>
  <c r="BS105" i="29" s="1"/>
  <c r="AY28" i="29"/>
  <c r="AY101" i="29" s="1"/>
  <c r="AY105" i="29" s="1"/>
  <c r="AZ101" i="29"/>
  <c r="BZ28" i="29"/>
  <c r="BZ101" i="29" s="1"/>
  <c r="BZ105" i="29" s="1"/>
  <c r="BU28" i="29"/>
  <c r="BU101" i="29" s="1"/>
  <c r="BU105" i="29" s="1"/>
  <c r="AI28" i="29"/>
  <c r="AI101" i="29" s="1"/>
  <c r="AI105" i="29" s="1"/>
  <c r="AF28" i="29"/>
  <c r="AF101" i="29" s="1"/>
  <c r="AF105" i="29" s="1"/>
  <c r="BK28" i="29"/>
  <c r="BK101" i="29" s="1"/>
  <c r="BK105" i="29" s="1"/>
  <c r="BL28" i="29"/>
  <c r="BL101" i="29" s="1"/>
  <c r="BL105" i="29" s="1"/>
  <c r="BI28" i="29"/>
  <c r="BI101" i="29" s="1"/>
  <c r="BI105" i="29" s="1"/>
  <c r="BD28" i="29"/>
  <c r="BD101" i="29" s="1"/>
  <c r="BD105" i="29" s="1"/>
  <c r="K96" i="29"/>
  <c r="L71" i="31"/>
  <c r="L79" i="31" s="1"/>
  <c r="K35" i="29"/>
  <c r="K18" i="31" s="1"/>
  <c r="I18" i="31" s="1"/>
  <c r="L18" i="31"/>
  <c r="J18" i="31" s="1"/>
  <c r="K31" i="29"/>
  <c r="K14" i="31" s="1"/>
  <c r="I14" i="31" s="1"/>
  <c r="L14" i="31"/>
  <c r="J14" i="31" s="1"/>
  <c r="K36" i="29"/>
  <c r="K18" i="32" s="1"/>
  <c r="L19" i="31"/>
  <c r="J19" i="31" s="1"/>
  <c r="AN101" i="29"/>
  <c r="BN27" i="28"/>
  <c r="H47" i="24"/>
  <c r="I47" i="24" s="1"/>
  <c r="AV102" i="29"/>
  <c r="AS101" i="29"/>
  <c r="AS105" i="29" s="1"/>
  <c r="U101" i="29"/>
  <c r="U105" i="29" s="1"/>
  <c r="K13" i="32"/>
  <c r="F19" i="24"/>
  <c r="Z101" i="29"/>
  <c r="BG101" i="29"/>
  <c r="BG105" i="29" s="1"/>
  <c r="AU101" i="29"/>
  <c r="AU105" i="29" s="1"/>
  <c r="AQ101" i="29"/>
  <c r="BP101" i="29"/>
  <c r="BP105" i="29" s="1"/>
  <c r="BY101" i="29"/>
  <c r="BY105" i="29" s="1"/>
  <c r="BV47" i="29"/>
  <c r="BV38" i="29" s="1"/>
  <c r="BV28" i="29" s="1"/>
  <c r="AA101" i="29"/>
  <c r="AA105" i="29" s="1"/>
  <c r="CA101" i="29"/>
  <c r="AB101" i="29"/>
  <c r="AB105" i="29" s="1"/>
  <c r="BB102" i="29"/>
  <c r="BR101" i="29"/>
  <c r="BR105" i="29" s="1"/>
  <c r="AE101" i="29"/>
  <c r="AG101" i="29"/>
  <c r="AG105" i="29" s="1"/>
  <c r="L61" i="29"/>
  <c r="BO101" i="29"/>
  <c r="L66" i="29"/>
  <c r="O102" i="29"/>
  <c r="M102" i="29"/>
  <c r="N102" i="29"/>
  <c r="Q102" i="29"/>
  <c r="BC101" i="29"/>
  <c r="S101" i="29"/>
  <c r="BE101" i="29"/>
  <c r="BE105" i="29" s="1"/>
  <c r="T101" i="29"/>
  <c r="T105" i="29" s="1"/>
  <c r="P47" i="29"/>
  <c r="P38" i="29" s="1"/>
  <c r="AX101" i="29"/>
  <c r="AX105" i="29" s="1"/>
  <c r="BB47" i="29"/>
  <c r="BB38" i="29" s="1"/>
  <c r="BB28" i="29" s="1"/>
  <c r="AV47" i="29"/>
  <c r="AV38" i="29" s="1"/>
  <c r="AV28" i="29" s="1"/>
  <c r="M47" i="29"/>
  <c r="M38" i="29" s="1"/>
  <c r="N47" i="29"/>
  <c r="N38" i="29" s="1"/>
  <c r="L102" i="29"/>
  <c r="R47" i="29"/>
  <c r="R38" i="29" s="1"/>
  <c r="R28" i="29" s="1"/>
  <c r="O47" i="29"/>
  <c r="O38" i="29" s="1"/>
  <c r="Q47" i="29"/>
  <c r="Q38" i="29" s="1"/>
  <c r="BW101" i="29"/>
  <c r="BW105" i="29" s="1"/>
  <c r="CC101" i="29"/>
  <c r="CC105" i="29" s="1"/>
  <c r="AC101" i="29"/>
  <c r="AC105" i="29" s="1"/>
  <c r="BA101" i="29"/>
  <c r="BA105" i="29" s="1"/>
  <c r="AL101" i="29"/>
  <c r="AL105" i="29" s="1"/>
  <c r="BH28" i="29"/>
  <c r="BM101" i="29"/>
  <c r="BM105" i="29" s="1"/>
  <c r="BJ101" i="29"/>
  <c r="BJ105" i="29" s="1"/>
  <c r="AR101" i="29"/>
  <c r="AR105" i="29" s="1"/>
  <c r="L70" i="29"/>
  <c r="L53" i="31" s="1"/>
  <c r="AO101" i="29"/>
  <c r="AO105" i="29" s="1"/>
  <c r="BN47" i="29"/>
  <c r="BN38" i="29" s="1"/>
  <c r="BN28" i="29" s="1"/>
  <c r="Y101" i="29"/>
  <c r="Y105" i="29" s="1"/>
  <c r="Z105" i="29"/>
  <c r="W101" i="29"/>
  <c r="W105" i="29" s="1"/>
  <c r="AJ47" i="29"/>
  <c r="AJ38" i="29" s="1"/>
  <c r="AJ28" i="29" s="1"/>
  <c r="X47" i="29"/>
  <c r="X38" i="29" s="1"/>
  <c r="X28" i="29" s="1"/>
  <c r="BQ101" i="29"/>
  <c r="BQ105" i="29" s="1"/>
  <c r="AD47" i="29"/>
  <c r="AD38" i="29" s="1"/>
  <c r="AD28" i="29" s="1"/>
  <c r="AD102" i="29"/>
  <c r="BV102" i="29"/>
  <c r="BN102" i="29"/>
  <c r="X102" i="29"/>
  <c r="AM101" i="29"/>
  <c r="AM105" i="29" s="1"/>
  <c r="AP47" i="29"/>
  <c r="AP38" i="29" s="1"/>
  <c r="AP28" i="29" s="1"/>
  <c r="AP102" i="29"/>
  <c r="AJ102" i="29"/>
  <c r="R102" i="29"/>
  <c r="AW101" i="29"/>
  <c r="L48" i="29"/>
  <c r="CB97" i="29"/>
  <c r="CB101" i="29"/>
  <c r="CB105" i="29" s="1"/>
  <c r="K30" i="29"/>
  <c r="L29" i="29"/>
  <c r="K39" i="29"/>
  <c r="K22" i="31" s="1"/>
  <c r="L39" i="29"/>
  <c r="AT101" i="29"/>
  <c r="AT105" i="29" s="1"/>
  <c r="AH101" i="29"/>
  <c r="AH105" i="29" s="1"/>
  <c r="K76" i="29"/>
  <c r="G15" i="24"/>
  <c r="K37" i="29"/>
  <c r="L34" i="29"/>
  <c r="F8" i="24"/>
  <c r="G8" i="24"/>
  <c r="BN24" i="28"/>
  <c r="BD29" i="28"/>
  <c r="BG29" i="28"/>
  <c r="BN26" i="28"/>
  <c r="BF101" i="29"/>
  <c r="BF105" i="29" s="1"/>
  <c r="AK101" i="29"/>
  <c r="V101" i="29"/>
  <c r="V105" i="29" s="1"/>
  <c r="BT101" i="29"/>
  <c r="BT97" i="29"/>
  <c r="CA105" i="29"/>
  <c r="AN105" i="29"/>
  <c r="AZ105" i="29"/>
  <c r="K95" i="29"/>
  <c r="L94" i="29"/>
  <c r="L69" i="31" s="1"/>
  <c r="L78" i="31" s="1"/>
  <c r="BH102" i="29"/>
  <c r="AP109" i="29" l="1"/>
  <c r="K15" i="31"/>
  <c r="I15" i="31" s="1"/>
  <c r="O28" i="29"/>
  <c r="O101" i="29" s="1"/>
  <c r="O105" i="29" s="1"/>
  <c r="M28" i="29"/>
  <c r="M101" i="29" s="1"/>
  <c r="M105" i="29" s="1"/>
  <c r="P28" i="29"/>
  <c r="P101" i="29" s="1"/>
  <c r="P105" i="29" s="1"/>
  <c r="Q28" i="29"/>
  <c r="Q101" i="29" s="1"/>
  <c r="Q105" i="29" s="1"/>
  <c r="N28" i="29"/>
  <c r="N101" i="29" s="1"/>
  <c r="N105" i="29" s="1"/>
  <c r="K19" i="31"/>
  <c r="I19" i="31" s="1"/>
  <c r="K17" i="32"/>
  <c r="BO105" i="29"/>
  <c r="BN109" i="29"/>
  <c r="K58" i="31"/>
  <c r="K56" i="32"/>
  <c r="G11" i="24"/>
  <c r="L17" i="31"/>
  <c r="G13" i="24"/>
  <c r="L22" i="31"/>
  <c r="G10" i="24"/>
  <c r="L12" i="31"/>
  <c r="K48" i="29"/>
  <c r="L31" i="31"/>
  <c r="K66" i="29"/>
  <c r="L49" i="31"/>
  <c r="K73" i="32"/>
  <c r="K71" i="31"/>
  <c r="K79" i="31" s="1"/>
  <c r="K72" i="32"/>
  <c r="K70" i="31"/>
  <c r="K61" i="29"/>
  <c r="L44" i="31"/>
  <c r="BC144" i="29"/>
  <c r="BC145" i="29" s="1"/>
  <c r="BC146" i="29" s="1"/>
  <c r="S144" i="29"/>
  <c r="AQ144" i="29"/>
  <c r="AQ145" i="29" s="1"/>
  <c r="AQ146" i="29" s="1"/>
  <c r="AE144" i="29"/>
  <c r="AE145" i="29" s="1"/>
  <c r="AE146" i="29" s="1"/>
  <c r="AE105" i="29"/>
  <c r="S105" i="29"/>
  <c r="AQ105" i="29"/>
  <c r="K29" i="29"/>
  <c r="K13" i="31"/>
  <c r="I13" i="31" s="1"/>
  <c r="K12" i="32"/>
  <c r="K94" i="29"/>
  <c r="K103" i="29" s="1"/>
  <c r="K79" i="32" s="1"/>
  <c r="K34" i="29"/>
  <c r="K17" i="31" s="1"/>
  <c r="K20" i="31"/>
  <c r="I20" i="31" s="1"/>
  <c r="K19" i="32"/>
  <c r="F15" i="24"/>
  <c r="F13" i="24"/>
  <c r="K21" i="32"/>
  <c r="AP101" i="29"/>
  <c r="AP108" i="29" s="1"/>
  <c r="AD109" i="29"/>
  <c r="X109" i="29"/>
  <c r="R109" i="29"/>
  <c r="BH109" i="29"/>
  <c r="AK105" i="29"/>
  <c r="AJ109" i="29"/>
  <c r="BC105" i="29"/>
  <c r="BB109" i="29"/>
  <c r="AW105" i="29"/>
  <c r="AV109" i="29"/>
  <c r="K97" i="29"/>
  <c r="BN29" i="28"/>
  <c r="H34" i="24" s="1"/>
  <c r="I34" i="24" s="1"/>
  <c r="L47" i="29"/>
  <c r="L30" i="31" s="1"/>
  <c r="K70" i="29"/>
  <c r="BB101" i="29"/>
  <c r="AD101" i="29"/>
  <c r="X101" i="29"/>
  <c r="AV101" i="29"/>
  <c r="BH101" i="29"/>
  <c r="AJ101" i="29"/>
  <c r="X97" i="29"/>
  <c r="X104" i="29" s="1"/>
  <c r="G7" i="24"/>
  <c r="G6" i="24"/>
  <c r="BH97" i="29"/>
  <c r="BH104" i="29" s="1"/>
  <c r="BV97" i="29"/>
  <c r="BV104" i="29" s="1"/>
  <c r="CB104" i="29"/>
  <c r="BV101" i="29"/>
  <c r="BV105" i="29" s="1"/>
  <c r="AJ97" i="29"/>
  <c r="AJ104" i="29" s="1"/>
  <c r="K106" i="29"/>
  <c r="K82" i="32" s="1"/>
  <c r="AD97" i="29"/>
  <c r="AD104" i="29" s="1"/>
  <c r="AV97" i="29"/>
  <c r="AV104" i="29" s="1"/>
  <c r="BB97" i="29"/>
  <c r="BB104" i="29" s="1"/>
  <c r="G20" i="24"/>
  <c r="L103" i="29"/>
  <c r="R101" i="29"/>
  <c r="BT105" i="29"/>
  <c r="BN101" i="29"/>
  <c r="BN105" i="29" s="1"/>
  <c r="BN108" i="29" s="1"/>
  <c r="AP97" i="29"/>
  <c r="AP104" i="29" s="1"/>
  <c r="R97" i="29"/>
  <c r="R104" i="29" s="1"/>
  <c r="BT104" i="29"/>
  <c r="BN97" i="29"/>
  <c r="BN104" i="29" s="1"/>
  <c r="F20" i="24" l="1"/>
  <c r="K71" i="32"/>
  <c r="K69" i="31"/>
  <c r="K78" i="31" s="1"/>
  <c r="K47" i="32"/>
  <c r="K49" i="31"/>
  <c r="K30" i="32"/>
  <c r="K31" i="31"/>
  <c r="K53" i="31"/>
  <c r="K50" i="32"/>
  <c r="F10" i="24"/>
  <c r="K12" i="31"/>
  <c r="K43" i="32"/>
  <c r="K44" i="31"/>
  <c r="S145" i="29"/>
  <c r="D151" i="29"/>
  <c r="D152" i="29" s="1"/>
  <c r="D154" i="29" s="1"/>
  <c r="K11" i="32"/>
  <c r="F11" i="24"/>
  <c r="K16" i="32"/>
  <c r="H28" i="24"/>
  <c r="I28" i="24" s="1"/>
  <c r="H29" i="24"/>
  <c r="I29" i="24" s="1"/>
  <c r="K47" i="29"/>
  <c r="R105" i="29"/>
  <c r="R108" i="29"/>
  <c r="X105" i="29"/>
  <c r="X108" i="29"/>
  <c r="AD105" i="29"/>
  <c r="AD108" i="29"/>
  <c r="BH105" i="29"/>
  <c r="BH108" i="29"/>
  <c r="AP105" i="29"/>
  <c r="AJ105" i="29"/>
  <c r="AJ108" i="29"/>
  <c r="BB105" i="29"/>
  <c r="AV105" i="29"/>
  <c r="AV108" i="29"/>
  <c r="H30" i="24"/>
  <c r="I30" i="24" s="1"/>
  <c r="H31" i="24"/>
  <c r="I31" i="24" s="1"/>
  <c r="H41" i="24"/>
  <c r="I41" i="24" s="1"/>
  <c r="H36" i="24"/>
  <c r="I36" i="24" s="1"/>
  <c r="H32" i="24"/>
  <c r="I32" i="24" s="1"/>
  <c r="H35" i="24"/>
  <c r="I35" i="24" s="1"/>
  <c r="H27" i="24"/>
  <c r="I27" i="24" s="1"/>
  <c r="H33" i="24"/>
  <c r="I33" i="24" s="1"/>
  <c r="H40" i="24"/>
  <c r="I40" i="24" s="1"/>
  <c r="F18" i="24"/>
  <c r="K102" i="29"/>
  <c r="K78" i="32" s="1"/>
  <c r="F17" i="24"/>
  <c r="F7" i="24"/>
  <c r="F6" i="24"/>
  <c r="K104" i="29"/>
  <c r="K80" i="32" s="1"/>
  <c r="F21" i="24"/>
  <c r="L38" i="29"/>
  <c r="G14" i="24"/>
  <c r="L21" i="31" l="1"/>
  <c r="L28" i="29"/>
  <c r="K29" i="32"/>
  <c r="K30" i="31"/>
  <c r="S146" i="29"/>
  <c r="E152" i="29"/>
  <c r="E154" i="29" s="1"/>
  <c r="I42" i="24"/>
  <c r="K38" i="29"/>
  <c r="K28" i="29" s="1"/>
  <c r="F14" i="24"/>
  <c r="L11" i="31"/>
  <c r="L76" i="31" s="1"/>
  <c r="L80" i="31" s="1"/>
  <c r="G12" i="24"/>
  <c r="K20" i="32" l="1"/>
  <c r="K21" i="31"/>
  <c r="F12" i="24"/>
  <c r="L101" i="29"/>
  <c r="G9" i="24"/>
  <c r="K10" i="32" l="1"/>
  <c r="K11" i="31"/>
  <c r="K76" i="31" s="1"/>
  <c r="K80" i="31" s="1"/>
  <c r="F9" i="24"/>
  <c r="F16" i="24" s="1"/>
  <c r="K101" i="29"/>
  <c r="K77" i="32" s="1"/>
  <c r="G16" i="24"/>
  <c r="G22" i="24"/>
  <c r="L105" i="29"/>
  <c r="K109" i="29"/>
  <c r="I7" i="24" l="1"/>
  <c r="F22" i="24"/>
  <c r="H22" i="24" s="1"/>
  <c r="I9" i="24"/>
  <c r="I16" i="24"/>
  <c r="H6" i="24"/>
  <c r="H7" i="24"/>
  <c r="I12" i="24"/>
  <c r="H8" i="24"/>
  <c r="I10" i="24"/>
  <c r="I22" i="24"/>
  <c r="H21" i="24"/>
  <c r="H15" i="24"/>
  <c r="I20" i="24"/>
  <c r="I6" i="24"/>
  <c r="H18" i="24"/>
  <c r="I11" i="24"/>
  <c r="H10" i="24"/>
  <c r="H9" i="24"/>
  <c r="I18" i="24"/>
  <c r="I21" i="24"/>
  <c r="H16" i="24"/>
  <c r="K105" i="29"/>
  <c r="K81" i="32" s="1"/>
  <c r="H19" i="24"/>
  <c r="H20" i="24"/>
  <c r="I17" i="24"/>
  <c r="H43" i="24"/>
  <c r="I43" i="24" s="1"/>
  <c r="I19" i="24"/>
  <c r="H12" i="24"/>
  <c r="H17" i="24"/>
  <c r="I13" i="24"/>
  <c r="I14" i="24"/>
  <c r="H14" i="24"/>
  <c r="I8" i="24"/>
  <c r="H13" i="24"/>
  <c r="H11" i="24"/>
  <c r="I15" i="24"/>
  <c r="H39" i="24"/>
  <c r="I39" i="24" s="1"/>
  <c r="H38" i="24"/>
  <c r="I38" i="24" s="1"/>
</calcChain>
</file>

<file path=xl/sharedStrings.xml><?xml version="1.0" encoding="utf-8"?>
<sst xmlns="http://schemas.openxmlformats.org/spreadsheetml/2006/main" count="1955" uniqueCount="591">
  <si>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</si>
  <si>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</si>
  <si>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</si>
  <si>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</si>
  <si>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</si>
  <si>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</si>
  <si>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</si>
  <si>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</si>
  <si>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</si>
  <si>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</si>
  <si>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</si>
  <si>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</si>
  <si>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</si>
  <si>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</si>
  <si>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</si>
  <si>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</si>
  <si>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</si>
  <si>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</si>
  <si>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</si>
  <si>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</si>
  <si>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</si>
  <si>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</si>
  <si>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</si>
  <si>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</si>
  <si>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</si>
  <si>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</si>
  <si>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</si>
  <si>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</si>
  <si>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</si>
  <si>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</si>
  <si>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</si>
  <si>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</si>
  <si>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</si>
  <si>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</si>
  <si>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</si>
  <si>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</si>
  <si>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</si>
  <si>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</si>
  <si>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</si>
  <si>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</si>
  <si>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</si>
  <si>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</si>
  <si>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</si>
  <si>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</si>
  <si>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</si>
  <si>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</si>
  <si>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</si>
  <si>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</si>
  <si>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</si>
  <si>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</si>
  <si>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</si>
  <si>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</si>
  <si>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</si>
  <si>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</si>
  <si>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</si>
  <si>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</si>
  <si>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</si>
  <si>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</si>
  <si>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</si>
  <si>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</si>
  <si>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</si>
  <si>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</si>
  <si>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</si>
  <si>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</si>
  <si>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лекций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</si>
  <si>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</si>
  <si>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</si>
  <si>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</si>
  <si>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</si>
  <si>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</si>
  <si>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</si>
  <si>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</si>
  <si>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</si>
  <si>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</si>
  <si>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</si>
  <si>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</si>
  <si>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</si>
  <si>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</si>
  <si>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</si>
  <si>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</si>
  <si>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</si>
  <si>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</si>
  <si>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</si>
  <si>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</si>
  <si>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</si>
  <si>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</si>
  <si>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</si>
  <si>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</si>
  <si>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</si>
  <si>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</si>
  <si>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</si>
  <si>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</si>
  <si>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</si>
  <si>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</si>
  <si>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</si>
  <si>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</si>
  <si>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</si>
  <si>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</si>
  <si>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</si>
  <si>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</si>
  <si>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</si>
  <si>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</si>
  <si>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</si>
  <si>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</si>
  <si>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</si>
  <si>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</si>
  <si>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</si>
  <si>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</si>
  <si>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</si>
  <si>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</si>
  <si>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</si>
  <si>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</si>
  <si>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</si>
  <si>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</si>
  <si>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</si>
  <si>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</si>
  <si>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</si>
  <si>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</si>
  <si>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</si>
  <si>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</si>
  <si>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</si>
  <si>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</si>
  <si>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</si>
  <si>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</si>
  <si>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</si>
  <si>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</si>
  <si>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</si>
  <si>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</si>
  <si>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</si>
  <si>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</si>
  <si>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</si>
  <si>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</si>
  <si>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</si>
  <si>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</si>
  <si>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</si>
  <si>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</si>
  <si>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</si>
  <si>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</si>
  <si>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</si>
  <si>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</si>
  <si>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</si>
  <si>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</si>
  <si>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</si>
  <si>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</si>
  <si>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</si>
  <si>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</si>
  <si>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</si>
  <si>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</si>
  <si>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</si>
  <si>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</si>
  <si>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</si>
  <si>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</si>
  <si>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</si>
  <si>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</si>
  <si>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</si>
  <si>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</si>
  <si>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</si>
  <si>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</si>
  <si>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</si>
  <si>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</si>
  <si>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</si>
  <si>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</si>
  <si>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</si>
  <si>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</si>
  <si>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</si>
  <si>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</si>
  <si>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</si>
  <si>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</si>
  <si>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</si>
  <si>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</si>
  <si>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</si>
  <si>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</si>
  <si>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</si>
  <si>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</si>
  <si>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</si>
  <si>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</si>
  <si>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</si>
  <si>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</si>
  <si>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</si>
  <si>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</si>
  <si>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</si>
  <si>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</si>
  <si>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</si>
  <si>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</si>
  <si>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</si>
  <si>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</si>
  <si>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</si>
  <si>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</si>
  <si>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</si>
  <si>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</si>
  <si>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</si>
  <si>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</si>
  <si>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</si>
  <si>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</si>
  <si>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</si>
  <si>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</si>
  <si>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ГИА.01</t>
  </si>
  <si>
    <t>ГИА.02</t>
  </si>
  <si>
    <t>ВЧ.01</t>
  </si>
  <si>
    <t>ВЧ.02</t>
  </si>
  <si>
    <t>ВЧ.03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</si>
  <si>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</si>
  <si>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</si>
  <si>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</si>
  <si>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</si>
  <si>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</si>
  <si>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</si>
  <si>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</si>
  <si>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</si>
  <si>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</si>
  <si>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</si>
  <si>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</si>
  <si>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</si>
  <si>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</si>
  <si>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</si>
  <si>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</si>
  <si>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</si>
  <si>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</si>
  <si>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</si>
  <si>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</si>
  <si>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</si>
  <si>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</si>
  <si>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</si>
  <si>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</si>
  <si>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</si>
  <si>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</si>
  <si>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</si>
  <si>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</si>
  <si>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</si>
  <si>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</si>
  <si>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</si>
  <si>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</si>
  <si>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</si>
  <si>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</si>
  <si>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</si>
  <si>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</si>
  <si>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</si>
  <si>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</si>
  <si>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</si>
  <si>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</si>
  <si>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</si>
  <si>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</si>
  <si>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</si>
  <si>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</si>
  <si>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</si>
  <si>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</si>
  <si>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</si>
  <si>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</si>
  <si>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</si>
  <si>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</si>
  <si>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</si>
  <si>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</si>
  <si>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</si>
  <si>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</si>
  <si>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</si>
  <si>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</si>
  <si>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</si>
  <si>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</si>
  <si>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</si>
  <si>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</si>
  <si>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</si>
  <si>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</si>
  <si>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</si>
  <si>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</si>
  <si>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</si>
  <si>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</si>
  <si>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</si>
  <si>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</si>
  <si>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</si>
  <si>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</si>
  <si>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</si>
  <si>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</si>
  <si>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</si>
  <si>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</si>
  <si>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</si>
  <si>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</si>
  <si>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</si>
  <si>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</si>
  <si>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</si>
  <si>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</si>
  <si>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</si>
  <si>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</si>
  <si>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</si>
  <si>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</si>
  <si>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ВЧ.04</t>
  </si>
  <si>
    <t>ВЧ.05</t>
  </si>
  <si>
    <t>ЕН.03</t>
  </si>
  <si>
    <t>Деловой английский язык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</si>
  <si>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</si>
  <si>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</si>
  <si>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</si>
  <si>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</si>
  <si>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</si>
  <si>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</si>
  <si>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>Оказывать первую медицинскую помощь пострадавшим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</si>
  <si>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</si>
  <si>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</si>
  <si>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</si>
  <si>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</si>
  <si>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</si>
  <si>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</si>
  <si>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Теории и устройства судна</t>
  </si>
  <si>
    <t>Мастерская</t>
  </si>
  <si>
    <t>____________________ И.К.Кузьмичев</t>
  </si>
  <si>
    <t>Механика</t>
  </si>
  <si>
    <t>Метрология и стандартизация</t>
  </si>
  <si>
    <t>Теоретические основы электротехники</t>
  </si>
  <si>
    <t>Нижегородское речное училище им.И.П.Кулибина</t>
  </si>
  <si>
    <t>Ректор</t>
  </si>
  <si>
    <t>Наименование ПМ</t>
  </si>
  <si>
    <t>Распределение недель практик по ПМ</t>
  </si>
  <si>
    <t>Наименование практики и сроки</t>
  </si>
  <si>
    <t>Подготовка ВКР</t>
  </si>
  <si>
    <t>Защита ВКР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</si>
  <si>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</si>
  <si>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</si>
  <si>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</si>
  <si>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Общего гуманитарного и социально-экономического цикла</t>
  </si>
  <si>
    <t>Профессионального цикла специальности "Судовождение"</t>
  </si>
  <si>
    <t>Профессионального цикла специальности "Эксплуатация судовых энергетических установок"</t>
  </si>
  <si>
    <t xml:space="preserve">Профессионального цикла специальности "Эксплуатация судового электрооборудования и средств автоматики" </t>
  </si>
  <si>
    <t>Профессионального цикла специальности "Эксплуатация внутренних водных путей"</t>
  </si>
  <si>
    <t>Экзамены квалификационные</t>
  </si>
  <si>
    <t>обучающегося на каждый учебный год.</t>
  </si>
  <si>
    <t>География</t>
  </si>
  <si>
    <t>ОК 1-10; ПК 1.1-1.5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</si>
  <si>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</si>
  <si>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</si>
  <si>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</si>
  <si>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</si>
  <si>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</si>
  <si>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</si>
  <si>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</si>
  <si>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</si>
  <si>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</si>
  <si>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</si>
  <si>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ПК-3.1</t>
  </si>
  <si>
    <t>ПК-3.2</t>
  </si>
  <si>
    <t>ПК-3.3</t>
  </si>
  <si>
    <t>Электромонтажная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</si>
  <si>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</si>
  <si>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</si>
  <si>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</si>
  <si>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</si>
  <si>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</si>
  <si>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</si>
  <si>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</si>
  <si>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</si>
  <si>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</si>
  <si>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</si>
  <si>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</si>
  <si>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</si>
  <si>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</si>
  <si>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Экзамен квалификационный</t>
  </si>
  <si>
    <t>Начальная подготовка по безопасности (правило VI/1 МК ПДНВ)</t>
  </si>
  <si>
    <t>Подготовка по охране (правило VI/6 МК ПДНВ)</t>
  </si>
  <si>
    <t>ОК 2,3,6,7</t>
  </si>
  <si>
    <t>28</t>
  </si>
  <si>
    <t>УП.04</t>
  </si>
  <si>
    <t>Экологические основы природопользования</t>
  </si>
  <si>
    <t>Электрические системы автоматики и контроля судовых технических средств</t>
  </si>
  <si>
    <t>Перенос часов по блокам</t>
  </si>
  <si>
    <t>Добавлено часов</t>
  </si>
  <si>
    <t>ОУД.01 Русский язык и литература</t>
  </si>
  <si>
    <t>5 часов занятий*</t>
  </si>
  <si>
    <t>ОУД.11 Математика: алгебра и начала анализа; геометрия</t>
  </si>
  <si>
    <t>21 час занятий*</t>
  </si>
  <si>
    <t>ОУД.12 Физика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</si>
  <si>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</si>
  <si>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</si>
  <si>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МДК.01.01.02</t>
  </si>
  <si>
    <t>МДК.01.01.03</t>
  </si>
  <si>
    <t>МДК.01.01.04</t>
  </si>
  <si>
    <t>МДК.01.01.05</t>
  </si>
  <si>
    <t>МДК.02.01.01</t>
  </si>
  <si>
    <t>МДК.02.01.03</t>
  </si>
  <si>
    <t>МДК.02.01.04</t>
  </si>
  <si>
    <t>МДК.02.01.02.02</t>
  </si>
  <si>
    <t>МДК.02.01.02.03</t>
  </si>
  <si>
    <t>МДК.02.01.02.04</t>
  </si>
  <si>
    <t>______________________ И.К. Кузьмичев</t>
  </si>
  <si>
    <t>техник - судомеханик</t>
  </si>
  <si>
    <t xml:space="preserve">07.05.2014 № 443 </t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</si>
  <si>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</si>
  <si>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</si>
  <si>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</si>
  <si>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</si>
  <si>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дней</t>
  </si>
  <si>
    <t>Всего максимальной нагрузки ЗАОЧНОЕ ОТДЕЛЕНИЕ</t>
  </si>
  <si>
    <t>Всего максимальной нагрузки ОЧНОЕ ОТДЕЛЕНИЕ</t>
  </si>
  <si>
    <t>НЕ ПЕЧАТАТЬ!!!!!!!!</t>
  </si>
  <si>
    <t>26.02.06 Эксплуатация судового электрооборудования и средств автоматики</t>
  </si>
  <si>
    <t>07.05.2014 г. № 444</t>
  </si>
  <si>
    <t>Технология технического обслуживания и ремонта судового электрооборудования</t>
  </si>
  <si>
    <t>Судовые электрические машины</t>
  </si>
  <si>
    <t>Силовая преобразовательная техника</t>
  </si>
  <si>
    <t>Судовые электроприводы</t>
  </si>
  <si>
    <t>Судовые автоматизированные электроэнергетические системы</t>
  </si>
  <si>
    <t>Электрические аппараты</t>
  </si>
  <si>
    <t>Микропроцессорные системы  управления</t>
  </si>
  <si>
    <t>Предотвращение загрязнения морской окуржающей среды</t>
  </si>
  <si>
    <t>Охрана труда</t>
  </si>
  <si>
    <t>Электрооборудование объектов водного транспорта</t>
  </si>
  <si>
    <t xml:space="preserve">Групповая плавательная </t>
  </si>
  <si>
    <t xml:space="preserve">Шлюпочная </t>
  </si>
  <si>
    <t>Безопасность жизнедеятельности на судне и транспортная безопасность</t>
  </si>
  <si>
    <t>техник-электромеханик</t>
  </si>
  <si>
    <t>Обеспечивать оптимальный режим работы электрооборудования и средств автоматики с учетом их функционального назначения, технических характеристик и правил эксплуатации</t>
  </si>
  <si>
    <t>Измерять и настраивать электрические цепи и электронные узлы</t>
  </si>
  <si>
    <t>Выполнять работы по регламентному обслуживанию электрооборудования и средств автоматики</t>
  </si>
  <si>
    <t>Выполнять диагностирование, техническое обслуживание и ремонт судового электрооборудования и средств автоматики</t>
  </si>
  <si>
    <t>Осуществлять эксплуатацию судовых технических средств в соответствии с установленными правилами и процедурами, обеспечивающими безопасность операций и отсутствие загрязнения окружающей среды</t>
  </si>
  <si>
    <t>Планировать и организовывать работу коллектива исполнителей</t>
  </si>
  <si>
    <t>Руководить работой коллектива исполнителей</t>
  </si>
  <si>
    <t>Анализировать процесс и результаты деятельности коллектива исполнителей</t>
  </si>
  <si>
    <t>ПК-3.4</t>
  </si>
  <si>
    <t>ПК-3.5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</si>
  <si>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</t>
  </si>
  <si>
    <t>Организовывать и обеспечивать действия подчиненных членов экипажа судна при авариях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</si>
  <si>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</t>
  </si>
  <si>
    <t>Организовывать и обеспечивать действия подчиненных членов экипажа судна по предупреждению и предотвращению загрязнения водной среды</t>
  </si>
  <si>
    <t>ПК-3.6</t>
  </si>
  <si>
    <t>ПК-3.7</t>
  </si>
  <si>
    <t>Безопасности жизнедеятельности и охраны труда</t>
  </si>
  <si>
    <t>Электротехники</t>
  </si>
  <si>
    <t>Электронной техники</t>
  </si>
  <si>
    <t>Судовых электроэнергетических систем</t>
  </si>
  <si>
    <t>Судовых электроприводов</t>
  </si>
  <si>
    <t>Электрических систем автоматики и контроля судовых технических средств</t>
  </si>
  <si>
    <t>Энергетического оборудования, механизмов и систем судна</t>
  </si>
  <si>
    <t>Слесарно-механическая</t>
  </si>
  <si>
    <t>Открытый стадион широкого профиля</t>
  </si>
  <si>
    <t>Основы управления коллективом исполнителей</t>
  </si>
  <si>
    <t xml:space="preserve"> Эксплуатация и ремонт судовых электрических машин, электроэнергетических систем и электроприводов, электрических систем автоматики и контроля</t>
  </si>
  <si>
    <t>Междисциплинарный курс</t>
  </si>
  <si>
    <t>ПМ.01 Техническая эксплуатация судового электрооборудования и средств автоматики</t>
  </si>
  <si>
    <t xml:space="preserve">ПМ.02 Организация работы коллектива исполнителей </t>
  </si>
  <si>
    <t xml:space="preserve">ПМ.03 Обеспечение безопасности плавания </t>
  </si>
  <si>
    <t>ПМ.04 Выполнение работ по одной или нескольким профессиям рабочих, должностям служащих</t>
  </si>
  <si>
    <t>ПМ.01, ПМ.03, ПМ.04</t>
  </si>
  <si>
    <t>ПМ.01, ПМ.02, ПМ.03, ПМ.04</t>
  </si>
  <si>
    <t>ПМ 01, ПМ.02, ПМ.03, ПМ.04</t>
  </si>
  <si>
    <t xml:space="preserve">В соответствии с  ФГОС от 07.05.2014 г. № 444 консультации предусматриваются образовательной организацией из расчета 4 часа на одного </t>
  </si>
  <si>
    <t>Дисциплина, МДК, практика</t>
  </si>
  <si>
    <t>ОК 1-10; ПК 2.1-2.3</t>
  </si>
  <si>
    <t>ОК 1-10; ПК 3.1-3.7</t>
  </si>
  <si>
    <t xml:space="preserve"> ПК 1.1-1.5</t>
  </si>
  <si>
    <t xml:space="preserve">ОК 1-10, ПК1.1-1.5, ПК 2.1- 2.3, ПК 3.1-3.7 </t>
  </si>
  <si>
    <t>ОК 1-10, ПК1.1-1.5</t>
  </si>
  <si>
    <t xml:space="preserve">ОК 1-10,ПК3.1-3.7 </t>
  </si>
  <si>
    <t xml:space="preserve">ОК 1-10, ПК1.1-1.5, ПК2.1- 2.3, ПК3.1-3.7 </t>
  </si>
  <si>
    <t>ИТОГО по часам:</t>
  </si>
  <si>
    <t>Ставок:</t>
  </si>
  <si>
    <t>Отношение кол-ва курсантов к кол-ву ставок</t>
  </si>
  <si>
    <t>ОК 3,4,7; ПК 3.1 - 3.7</t>
  </si>
  <si>
    <t>УП.03</t>
  </si>
  <si>
    <t>ПП 02</t>
  </si>
  <si>
    <t>Производственная практика - 3 курс - 19недель</t>
  </si>
  <si>
    <t>Количество курсантов</t>
  </si>
  <si>
    <t>Количество часов по курсам</t>
  </si>
  <si>
    <t>Количество ставок преподавателей</t>
  </si>
  <si>
    <t>ОП.00 Общепрофессиональные дисциплины</t>
  </si>
  <si>
    <t>360 часов занятий из ВЧ*</t>
  </si>
  <si>
    <t>Основы безопасности жизнедеятельности</t>
  </si>
  <si>
    <t>Слесарная</t>
  </si>
  <si>
    <t>Преддипломная практика</t>
  </si>
  <si>
    <t>0,3</t>
  </si>
  <si>
    <t>1 курс</t>
  </si>
  <si>
    <t>2 курс</t>
  </si>
  <si>
    <t>3 курс</t>
  </si>
  <si>
    <t>4 курс</t>
  </si>
  <si>
    <t>5 курс</t>
  </si>
  <si>
    <t>6,8</t>
  </si>
  <si>
    <t>4,5</t>
  </si>
  <si>
    <t>Судовые энергетические установки и их эксплуатация</t>
  </si>
  <si>
    <t>64-1</t>
  </si>
  <si>
    <t>64-2</t>
  </si>
  <si>
    <t>33</t>
  </si>
  <si>
    <t>64-3</t>
  </si>
  <si>
    <t>64-6</t>
  </si>
  <si>
    <t>64-4</t>
  </si>
  <si>
    <t>64-5</t>
  </si>
  <si>
    <t>64-8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</si>
  <si>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</si>
  <si>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</si>
  <si>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</si>
  <si>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</si>
  <si>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</si>
  <si>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64 - 4</t>
  </si>
  <si>
    <t>64 - 5</t>
  </si>
  <si>
    <t>64 - 6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</si>
  <si>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</si>
  <si>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</si>
  <si>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</si>
  <si>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</si>
  <si>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</si>
  <si>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</si>
  <si>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</si>
  <si>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Управление конвенционной подготовки и повышения квалификации</t>
  </si>
  <si>
    <t>Практика по БЖС и ОСПС</t>
  </si>
  <si>
    <t>Эксплуатация судна на вспомогательном уровне</t>
  </si>
  <si>
    <t>Анализ деятельности структурного подразделения</t>
  </si>
  <si>
    <t>14 часов занятий из ВЧ*</t>
  </si>
  <si>
    <t>44 часа занятий из ВЧ*</t>
  </si>
  <si>
    <t>2 часа Занятий из ВЧ*</t>
  </si>
  <si>
    <t>ВЧ.06</t>
  </si>
  <si>
    <t>Федеральное государственное бюджетное образовательное учреждение высшего образования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</si>
  <si>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</si>
  <si>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</si>
  <si>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</si>
  <si>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Моторист (машинист)</t>
  </si>
  <si>
    <t>Планирование и руководство работы структурного подразделения</t>
  </si>
  <si>
    <t xml:space="preserve">Учебная практика - 2 курс - 12 недель, </t>
  </si>
  <si>
    <t>Учебная практика - 3 курс - 4 недели</t>
  </si>
  <si>
    <t>Производственная практика - 4 курс - 13 недель</t>
  </si>
  <si>
    <t>Преддипломная практика - 4 курс - 4 недели</t>
  </si>
  <si>
    <t>ПМ.00 Профессиональные модули</t>
  </si>
  <si>
    <t>ОП. 07 Безопасность жизнедеятельности</t>
  </si>
  <si>
    <t>ЕН.00 Математический и общий естественнонаучный цикл</t>
  </si>
  <si>
    <t>26.02.06  Эксплуатация судового электрооборудования и средств автоматики</t>
  </si>
  <si>
    <t>(в ред. Приказа Минобрнауки России от 14.09.2016 N 1193)</t>
  </si>
  <si>
    <t>Электромеханическое отделение</t>
  </si>
  <si>
    <t>Общеобразовательных учебных дисциплин</t>
  </si>
  <si>
    <t>Производственная практика (практика по профилю специальности)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</si>
  <si>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</si>
  <si>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</si>
  <si>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дифференцированные зачеты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</si>
  <si>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</si>
  <si>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</si>
  <si>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</si>
  <si>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</si>
  <si>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</si>
  <si>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</si>
  <si>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Количество других форм контроля</t>
  </si>
  <si>
    <t>Всего часов на государственную итоговую аттестацию</t>
  </si>
  <si>
    <t>3,4,5,6,7,8</t>
  </si>
  <si>
    <t>Государственная итоговая аттестация</t>
  </si>
  <si>
    <t>Количество курсовых проектов (работ)</t>
  </si>
  <si>
    <t>Русский язык</t>
  </si>
  <si>
    <t>Литература</t>
  </si>
  <si>
    <t>Астрономия</t>
  </si>
  <si>
    <t>Дата утверждения ФГОС СПО</t>
  </si>
  <si>
    <t>4,8</t>
  </si>
  <si>
    <t>Базовые дисциплины</t>
  </si>
  <si>
    <t>Обществознание</t>
  </si>
  <si>
    <t>Профильные дисциплины</t>
  </si>
  <si>
    <t>3,4</t>
  </si>
  <si>
    <t>Всего часов обучения по циклам</t>
  </si>
  <si>
    <t>Количество учебных занятий (часов) в неделю</t>
  </si>
  <si>
    <t xml:space="preserve">ПМ.01             </t>
  </si>
  <si>
    <t xml:space="preserve">МДК.01.01  </t>
  </si>
  <si>
    <t>Техническая эксплуатация судового электрооборудования и средств автоматики</t>
  </si>
  <si>
    <t>Эксплуатация и ремонт судовых электрических машин, электроэнергетических систем и электроприводов, электрических систем автоматики и контроля</t>
  </si>
  <si>
    <t xml:space="preserve">ПМ.02 </t>
  </si>
  <si>
    <t>МДК.02.01</t>
  </si>
  <si>
    <t xml:space="preserve">Организация работы коллектива исполнителей </t>
  </si>
  <si>
    <t>ПМ.03</t>
  </si>
  <si>
    <t>МДК.03.01</t>
  </si>
  <si>
    <t xml:space="preserve">Обеспечение безопасности плавания                                                   </t>
  </si>
  <si>
    <r>
      <t xml:space="preserve">Системы судовой связи </t>
    </r>
    <r>
      <rPr>
        <sz val="10"/>
        <rFont val="Times New Roman"/>
        <family val="1"/>
        <charset val="204"/>
      </rPr>
      <t>и навигации</t>
    </r>
  </si>
  <si>
    <t xml:space="preserve">Объем часов </t>
  </si>
  <si>
    <t>Государственная итоговая аттестация, недель</t>
  </si>
  <si>
    <t xml:space="preserve">Протокол № </t>
  </si>
  <si>
    <t>ОД.00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</si>
  <si>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</si>
  <si>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</si>
  <si>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</si>
  <si>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</si>
  <si>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</si>
  <si>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</si>
  <si>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</si>
  <si>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</si>
  <si>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</si>
  <si>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</si>
  <si>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</si>
  <si>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</si>
  <si>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ОДп.00</t>
  </si>
  <si>
    <t>ОДп.01</t>
  </si>
  <si>
    <t>ОДп.02</t>
  </si>
  <si>
    <t>ОДп.03</t>
  </si>
  <si>
    <t>Общий гуманитарный и социально-экономический цикл</t>
  </si>
  <si>
    <t>Профессиональный учебный цикл</t>
  </si>
  <si>
    <t>ОК 1-10; ПК 1.5</t>
  </si>
  <si>
    <t>ОК 4,10</t>
  </si>
  <si>
    <t xml:space="preserve">ОК 1-10, ПК1.1-1.5, ПК 3.1-3.7 </t>
  </si>
  <si>
    <t>ОК 1-10,ПК 1.1-1.5, 3.1-3.7</t>
  </si>
  <si>
    <t>ОК 1-10,ПК 1.1-1.5, 2.1-2.2, 3.1-3.7</t>
  </si>
  <si>
    <t>ОК 1-10,ПК 1.1-1.5, 2.1-2.3, 3.1-3.7</t>
  </si>
  <si>
    <t>ОК 1-10, ПК 1.1-1.5,  2.1-2.3,   3.1-3.7</t>
  </si>
  <si>
    <t>ПК 1.1 - 1.5</t>
  </si>
  <si>
    <t>ОК 1-10; ПК 1.1-1.5,  3.1-3.7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</si>
</sst>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2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53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4" fillId="27" borderId="14" xfId="36" applyFont="1" applyFill="1" applyBorder="1" applyAlignment="1" applyProtection="1">
      <alignment horizontal="center" vertical="top" wrapText="1"/>
    </xf>
    <xf numFmtId="0" fontId="34" fillId="27" borderId="15" xfId="36" applyFont="1" applyFill="1" applyBorder="1" applyAlignment="1" applyProtection="1">
      <alignment horizontal="center" vertical="top" wrapText="1"/>
    </xf>
    <xf numFmtId="0" fontId="34" fillId="27" borderId="16" xfId="36" applyFont="1" applyFill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7" borderId="16" xfId="36" applyNumberFormat="1" applyFont="1" applyFill="1" applyBorder="1" applyAlignment="1" applyProtection="1">
      <alignment horizontal="center" vertical="top" wrapText="1" shrinkToFit="1"/>
    </xf>
    <xf numFmtId="49" fontId="34" fillId="27" borderId="10" xfId="36" applyNumberFormat="1" applyFont="1" applyFill="1" applyBorder="1" applyAlignment="1" applyProtection="1">
      <alignment horizontal="center" vertical="top" wrapText="1" shrinkToFit="1"/>
    </xf>
    <xf numFmtId="0" fontId="34" fillId="0" borderId="0" xfId="36" applyFont="1" applyAlignment="1" applyProtection="1">
      <alignment vertical="top" wrapText="1"/>
    </xf>
    <xf numFmtId="0" fontId="8" fillId="26" borderId="13" xfId="36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2" fontId="7" fillId="32" borderId="13" xfId="36" applyNumberFormat="1" applyFont="1" applyFill="1" applyBorder="1" applyAlignment="1" applyProtection="1">
      <alignment horizontal="center" vertical="top" wrapText="1"/>
    </xf>
    <xf numFmtId="164" fontId="7" fillId="32" borderId="13" xfId="36" applyNumberFormat="1" applyFont="1" applyFill="1" applyBorder="1" applyAlignment="1" applyProtection="1">
      <alignment horizontal="center" vertical="top" wrapText="1"/>
    </xf>
    <xf numFmtId="2" fontId="7" fillId="26" borderId="13" xfId="36" applyNumberFormat="1" applyFont="1" applyFill="1" applyBorder="1" applyAlignment="1" applyProtection="1">
      <alignment horizontal="center" vertical="top" wrapText="1"/>
    </xf>
    <xf numFmtId="164" fontId="8" fillId="26" borderId="13" xfId="40" applyNumberFormat="1" applyFont="1" applyFill="1" applyBorder="1" applyAlignment="1" applyProtection="1">
      <alignment horizontal="center" vertical="top" wrapText="1"/>
    </xf>
    <xf numFmtId="1" fontId="7" fillId="32" borderId="13" xfId="36" applyNumberFormat="1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164" fontId="7" fillId="0" borderId="13" xfId="36" applyNumberFormat="1" applyFont="1" applyBorder="1" applyAlignment="1" applyProtection="1">
      <alignment horizontal="center" vertical="top" wrapText="1"/>
      <protection locked="0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2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64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0" fontId="8" fillId="27" borderId="22" xfId="36" applyNumberFormat="1" applyFont="1" applyFill="1" applyBorder="1" applyAlignment="1" applyProtection="1">
      <alignment horizontal="justify" vertical="top" wrapText="1"/>
    </xf>
    <xf numFmtId="2" fontId="7" fillId="29" borderId="13" xfId="36" applyNumberFormat="1" applyFont="1" applyFill="1" applyBorder="1" applyAlignment="1" applyProtection="1">
      <alignment horizontal="center" vertical="top" wrapText="1"/>
    </xf>
    <xf numFmtId="2" fontId="37" fillId="29" borderId="13" xfId="36" applyNumberFormat="1" applyFont="1" applyFill="1" applyBorder="1" applyAlignment="1" applyProtection="1">
      <alignment horizontal="center" vertical="top" wrapText="1"/>
    </xf>
    <xf numFmtId="0" fontId="8" fillId="29" borderId="13" xfId="36" applyFont="1" applyFill="1" applyBorder="1" applyAlignment="1" applyProtection="1">
      <alignment horizontal="center" vertical="top" wrapText="1"/>
    </xf>
    <xf numFmtId="2" fontId="8" fillId="26" borderId="13" xfId="36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38" xfId="0" applyNumberFormat="1" applyFont="1" applyFill="1" applyBorder="1" applyAlignment="1" applyProtection="1">
      <alignment horizontal="center" textRotation="90" wrapText="1"/>
    </xf>
    <xf numFmtId="1" fontId="3" fillId="28" borderId="39" xfId="0" applyNumberFormat="1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4" xfId="0" applyNumberFormat="1" applyFont="1" applyFill="1" applyBorder="1" applyAlignment="1" applyProtection="1">
      <alignment horizontal="left" vertical="center" wrapText="1"/>
    </xf>
    <xf numFmtId="0" fontId="7" fillId="34" borderId="44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vertical="top" wrapText="1"/>
    </xf>
    <xf numFmtId="164" fontId="7" fillId="26" borderId="13" xfId="36" applyNumberFormat="1" applyFont="1" applyFill="1" applyBorder="1" applyAlignment="1" applyProtection="1">
      <alignment horizontal="center" vertical="top" wrapText="1"/>
    </xf>
    <xf numFmtId="2" fontId="36" fillId="29" borderId="13" xfId="36" applyNumberFormat="1" applyFont="1" applyFill="1" applyBorder="1" applyAlignment="1" applyProtection="1">
      <alignment horizontal="center" vertical="top" wrapText="1"/>
    </xf>
    <xf numFmtId="0" fontId="37" fillId="0" borderId="0" xfId="0" applyFont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2" fontId="9" fillId="31" borderId="13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vertical="top" wrapText="1"/>
    </xf>
    <xf numFmtId="0" fontId="40" fillId="31" borderId="13" xfId="0" applyFont="1" applyFill="1" applyBorder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vertical="top" wrapText="1"/>
    </xf>
    <xf numFmtId="0" fontId="9" fillId="35" borderId="13" xfId="0" applyFont="1" applyFill="1" applyBorder="1" applyAlignment="1" applyProtection="1">
      <alignment vertical="top" wrapText="1"/>
    </xf>
    <xf numFmtId="164" fontId="9" fillId="31" borderId="13" xfId="0" applyNumberFormat="1" applyFont="1" applyFill="1" applyBorder="1" applyAlignment="1" applyProtection="1">
      <alignment horizontal="center" vertical="top" wrapText="1"/>
    </xf>
    <xf numFmtId="2" fontId="9" fillId="0" borderId="0" xfId="0" applyNumberFormat="1" applyFont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horizontal="left" vertical="top" wrapText="1"/>
    </xf>
    <xf numFmtId="0" fontId="9" fillId="35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top" wrapText="1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justify" vertical="top"/>
    </xf>
    <xf numFmtId="0" fontId="41" fillId="0" borderId="0" xfId="0" applyFont="1">
      <alignment vertical="top"/>
    </xf>
    <xf numFmtId="0" fontId="2" fillId="36" borderId="0" xfId="0" applyFont="1" applyFill="1" applyAlignment="1">
      <alignment vertical="top" wrapText="1"/>
    </xf>
    <xf numFmtId="0" fontId="3" fillId="36" borderId="0" xfId="0" applyFont="1" applyFill="1" applyBorder="1" applyAlignment="1">
      <alignment horizontal="justify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0" fillId="32" borderId="13" xfId="36" applyNumberFormat="1" applyFont="1" applyFill="1" applyBorder="1" applyAlignment="1" applyProtection="1">
      <alignment horizontal="center" vertical="top" wrapText="1"/>
    </xf>
    <xf numFmtId="0" fontId="0" fillId="24" borderId="13" xfId="36" applyFont="1" applyFill="1" applyBorder="1" applyAlignment="1" applyProtection="1">
      <alignment horizontal="center" vertical="top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9" borderId="13" xfId="0" applyFont="1" applyFill="1" applyBorder="1" applyAlignment="1" applyProtection="1">
      <alignment horizontal="left" vertical="center" wrapText="1"/>
    </xf>
    <xf numFmtId="1" fontId="8" fillId="29" borderId="13" xfId="0" applyNumberFormat="1" applyFont="1" applyFill="1" applyBorder="1" applyAlignment="1" applyProtection="1">
      <alignment horizontal="center" vertical="center" wrapText="1"/>
    </xf>
    <xf numFmtId="1" fontId="8" fillId="29" borderId="4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27" borderId="13" xfId="0" applyFill="1" applyBorder="1" applyAlignment="1" applyProtection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6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1" fontId="8" fillId="29" borderId="17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9" borderId="24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49" fontId="0" fillId="37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" fontId="8" fillId="34" borderId="42" xfId="0" applyNumberFormat="1" applyFont="1" applyFill="1" applyBorder="1" applyAlignment="1" applyProtection="1">
      <alignment horizontal="center" vertical="center" wrapText="1"/>
    </xf>
    <xf numFmtId="3" fontId="8" fillId="25" borderId="42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</xf>
    <xf numFmtId="1" fontId="0" fillId="32" borderId="42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0" fillId="33" borderId="17" xfId="0" applyNumberFormat="1" applyFont="1" applyFill="1" applyBorder="1" applyAlignment="1" applyProtection="1">
      <alignment horizontal="center" vertical="center" wrapText="1"/>
    </xf>
    <xf numFmtId="3" fontId="8" fillId="25" borderId="40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1" fontId="0" fillId="39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0" borderId="53" xfId="0" applyNumberFormat="1" applyFont="1" applyFill="1" applyBorder="1" applyAlignment="1" applyProtection="1">
      <alignment horizontal="center" vertical="center" wrapText="1"/>
    </xf>
    <xf numFmtId="1" fontId="8" fillId="30" borderId="56" xfId="0" applyNumberFormat="1" applyFont="1" applyFill="1" applyBorder="1" applyAlignment="1" applyProtection="1">
      <alignment horizontal="center" vertical="center" wrapText="1"/>
    </xf>
    <xf numFmtId="1" fontId="8" fillId="30" borderId="54" xfId="0" applyNumberFormat="1" applyFont="1" applyFill="1" applyBorder="1" applyAlignment="1" applyProtection="1">
      <alignment horizontal="center" vertical="center" wrapText="1"/>
    </xf>
    <xf numFmtId="0" fontId="8" fillId="30" borderId="53" xfId="0" applyFont="1" applyFill="1" applyBorder="1" applyAlignment="1" applyProtection="1">
      <alignment horizontal="left" vertical="center" wrapText="1"/>
    </xf>
    <xf numFmtId="1" fontId="8" fillId="30" borderId="55" xfId="0" applyNumberFormat="1" applyFont="1" applyFill="1" applyBorder="1" applyAlignment="1" applyProtection="1">
      <alignment horizontal="center" vertical="center" wrapText="1"/>
    </xf>
    <xf numFmtId="0" fontId="8" fillId="29" borderId="12" xfId="0" applyFont="1" applyFill="1" applyBorder="1" applyAlignment="1" applyProtection="1">
      <alignment horizontal="left" vertical="center" wrapText="1"/>
    </xf>
    <xf numFmtId="49" fontId="0" fillId="30" borderId="55" xfId="0" applyNumberFormat="1" applyFont="1" applyFill="1" applyBorder="1" applyAlignment="1" applyProtection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36" applyNumberFormat="1" applyFont="1" applyBorder="1" applyAlignment="1" applyProtection="1">
      <alignment horizontal="center" vertical="top" wrapText="1"/>
      <protection locked="0"/>
    </xf>
    <xf numFmtId="0" fontId="7" fillId="27" borderId="24" xfId="0" applyFont="1" applyFill="1" applyBorder="1" applyAlignment="1" applyProtection="1">
      <alignment vertical="top" wrapText="1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>
      <alignment horizontal="center" vertical="top" wrapText="1"/>
    </xf>
    <xf numFmtId="1" fontId="0" fillId="39" borderId="13" xfId="0" applyNumberFormat="1" applyFont="1" applyFill="1" applyBorder="1" applyAlignment="1" applyProtection="1">
      <alignment horizontal="center" vertical="center" wrapText="1"/>
    </xf>
    <xf numFmtId="49" fontId="0" fillId="0" borderId="20" xfId="0" applyNumberForma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0" fontId="2" fillId="34" borderId="16" xfId="0" applyFont="1" applyFill="1" applyBorder="1" applyAlignment="1" applyProtection="1">
      <alignment horizontal="center" vertical="top" wrapText="1"/>
    </xf>
    <xf numFmtId="1" fontId="8" fillId="34" borderId="42" xfId="0" applyNumberFormat="1" applyFont="1" applyFill="1" applyBorder="1" applyAlignment="1" applyProtection="1">
      <alignment horizontal="center" vertical="top" wrapText="1"/>
    </xf>
    <xf numFmtId="3" fontId="8" fillId="25" borderId="42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3" fontId="7" fillId="25" borderId="40" xfId="0" applyNumberFormat="1" applyFont="1" applyFill="1" applyBorder="1" applyAlignment="1" applyProtection="1">
      <alignment horizontal="center" vertical="top" wrapText="1"/>
    </xf>
    <xf numFmtId="1" fontId="7" fillId="34" borderId="42" xfId="0" applyNumberFormat="1" applyFont="1" applyFill="1" applyBorder="1" applyAlignment="1" applyProtection="1">
      <alignment horizontal="center" vertical="top" wrapText="1"/>
    </xf>
    <xf numFmtId="3" fontId="7" fillId="25" borderId="42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7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3" fontId="7" fillId="25" borderId="17" xfId="0" applyNumberFormat="1" applyFont="1" applyFill="1" applyBorder="1" applyAlignment="1" applyProtection="1">
      <alignment horizontal="center" vertical="top" wrapText="1"/>
    </xf>
    <xf numFmtId="49" fontId="3" fillId="34" borderId="47" xfId="0" applyNumberFormat="1" applyFont="1" applyFill="1" applyBorder="1" applyAlignment="1" applyProtection="1">
      <alignment horizontal="left" vertical="top" wrapText="1"/>
    </xf>
    <xf numFmtId="9" fontId="2" fillId="34" borderId="47" xfId="40" applyFont="1" applyFill="1" applyBorder="1" applyAlignment="1" applyProtection="1">
      <alignment horizontal="left" vertical="top" wrapText="1"/>
    </xf>
    <xf numFmtId="49" fontId="2" fillId="34" borderId="47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0" fontId="2" fillId="0" borderId="29" xfId="0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37" borderId="40" xfId="0" applyNumberFormat="1" applyFont="1" applyFill="1" applyBorder="1" applyAlignment="1" applyProtection="1">
      <alignment horizontal="center" vertical="center" wrapText="1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1" fontId="8" fillId="40" borderId="13" xfId="0" applyNumberFormat="1" applyFont="1" applyFill="1" applyBorder="1" applyAlignment="1" applyProtection="1">
      <alignment horizontal="center" vertical="center" wrapText="1"/>
    </xf>
    <xf numFmtId="1" fontId="0" fillId="40" borderId="13" xfId="0" applyNumberFormat="1" applyFill="1" applyBorder="1">
      <alignment vertical="top"/>
    </xf>
    <xf numFmtId="49" fontId="0" fillId="0" borderId="13" xfId="0" applyNumberFormat="1" applyBorder="1">
      <alignment vertical="top"/>
    </xf>
    <xf numFmtId="0" fontId="0" fillId="0" borderId="13" xfId="0" applyBorder="1">
      <alignment vertical="top"/>
    </xf>
    <xf numFmtId="49" fontId="8" fillId="37" borderId="16" xfId="0" applyNumberFormat="1" applyFont="1" applyFill="1" applyBorder="1" applyAlignment="1" applyProtection="1">
      <alignment horizontal="center" vertical="center" wrapText="1"/>
    </xf>
    <xf numFmtId="1" fontId="8" fillId="37" borderId="38" xfId="0" applyNumberFormat="1" applyFont="1" applyFill="1" applyBorder="1" applyAlignment="1" applyProtection="1">
      <alignment horizontal="center" vertical="center" wrapText="1"/>
    </xf>
    <xf numFmtId="1" fontId="8" fillId="37" borderId="23" xfId="0" applyNumberFormat="1" applyFont="1" applyFill="1" applyBorder="1" applyAlignment="1" applyProtection="1">
      <alignment horizontal="center" vertical="center" wrapText="1"/>
    </xf>
    <xf numFmtId="1" fontId="8" fillId="37" borderId="12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ill="1" applyBorder="1">
      <alignment vertical="top"/>
    </xf>
    <xf numFmtId="49" fontId="0" fillId="37" borderId="13" xfId="0" applyNumberFormat="1" applyFill="1" applyBorder="1">
      <alignment vertical="top"/>
    </xf>
    <xf numFmtId="0" fontId="0" fillId="37" borderId="13" xfId="0" applyFill="1" applyBorder="1">
      <alignment vertical="top"/>
    </xf>
    <xf numFmtId="1" fontId="8" fillId="37" borderId="20" xfId="0" applyNumberFormat="1" applyFont="1" applyFill="1" applyBorder="1" applyAlignment="1" applyProtection="1">
      <alignment horizontal="center" vertical="center" wrapText="1"/>
    </xf>
    <xf numFmtId="1" fontId="8" fillId="37" borderId="40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1" fontId="8" fillId="37" borderId="25" xfId="0" applyNumberFormat="1" applyFont="1" applyFill="1" applyBorder="1" applyAlignment="1" applyProtection="1">
      <alignment horizontal="center" vertical="center" wrapText="1"/>
    </xf>
    <xf numFmtId="1" fontId="8" fillId="37" borderId="14" xfId="0" applyNumberFormat="1" applyFont="1" applyFill="1" applyBorder="1" applyAlignment="1" applyProtection="1">
      <alignment horizontal="center" vertical="center" wrapText="1"/>
    </xf>
    <xf numFmtId="1" fontId="8" fillId="37" borderId="24" xfId="0" applyNumberFormat="1" applyFont="1" applyFill="1" applyBorder="1" applyAlignment="1" applyProtection="1">
      <alignment horizontal="center" vertical="center" wrapText="1"/>
    </xf>
    <xf numFmtId="1" fontId="8" fillId="37" borderId="22" xfId="0" applyNumberFormat="1" applyFont="1" applyFill="1" applyBorder="1" applyAlignment="1" applyProtection="1">
      <alignment horizontal="center" vertical="center" wrapText="1"/>
    </xf>
    <xf numFmtId="49" fontId="0" fillId="37" borderId="40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" fontId="39" fillId="37" borderId="17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 applyProtection="1">
      <alignment horizontal="center" textRotation="90" wrapText="1"/>
    </xf>
    <xf numFmtId="49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justify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1" fontId="3" fillId="28" borderId="63" xfId="0" applyNumberFormat="1" applyFont="1" applyFill="1" applyBorder="1" applyAlignment="1" applyProtection="1">
      <alignment horizontal="center" vertical="top" wrapText="1"/>
    </xf>
    <xf numFmtId="1" fontId="3" fillId="28" borderId="63" xfId="0" applyNumberFormat="1" applyFont="1" applyFill="1" applyBorder="1" applyAlignment="1" applyProtection="1">
      <alignment vertical="top" wrapText="1"/>
    </xf>
    <xf numFmtId="49" fontId="3" fillId="28" borderId="63" xfId="0" applyNumberFormat="1" applyFont="1" applyFill="1" applyBorder="1" applyAlignment="1" applyProtection="1">
      <alignment horizontal="center" vertical="top" wrapText="1"/>
    </xf>
    <xf numFmtId="0" fontId="7" fillId="28" borderId="22" xfId="0" applyFont="1" applyFill="1" applyBorder="1" applyAlignment="1" applyProtection="1">
      <alignment horizontal="center" textRotation="90" wrapText="1"/>
    </xf>
    <xf numFmtId="49" fontId="8" fillId="29" borderId="13" xfId="0" applyNumberFormat="1" applyFont="1" applyFill="1" applyBorder="1" applyAlignment="1" applyProtection="1">
      <alignment horizontal="center" vertical="center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39" fillId="38" borderId="13" xfId="0" applyNumberFormat="1" applyFont="1" applyFill="1" applyBorder="1" applyAlignment="1" applyProtection="1">
      <alignment vertical="center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8" fillId="30" borderId="42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" fontId="8" fillId="30" borderId="20" xfId="0" applyNumberFormat="1" applyFont="1" applyFill="1" applyBorder="1" applyAlignment="1" applyProtection="1">
      <alignment horizontal="center" vertical="center" wrapText="1"/>
    </xf>
    <xf numFmtId="1" fontId="8" fillId="30" borderId="21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20" xfId="0" applyNumberFormat="1" applyFont="1" applyFill="1" applyBorder="1" applyAlignment="1" applyProtection="1">
      <alignment horizontal="center" vertical="center" wrapText="1"/>
    </xf>
    <xf numFmtId="1" fontId="0" fillId="33" borderId="21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1" fontId="0" fillId="37" borderId="17" xfId="0" applyNumberFormat="1" applyFont="1" applyFill="1" applyBorder="1" applyAlignment="1" applyProtection="1">
      <alignment horizontal="center" vertical="center" wrapText="1"/>
    </xf>
    <xf numFmtId="49" fontId="8" fillId="30" borderId="20" xfId="0" applyNumberFormat="1" applyFont="1" applyFill="1" applyBorder="1" applyAlignment="1" applyProtection="1">
      <alignment horizontal="center" vertical="center" wrapText="1"/>
    </xf>
    <xf numFmtId="0" fontId="0" fillId="37" borderId="13" xfId="0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37" borderId="13" xfId="0" applyFill="1" applyBorder="1" applyAlignment="1">
      <alignment vertical="top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49" fontId="39" fillId="38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8" fillId="24" borderId="13" xfId="0" applyFont="1" applyFill="1" applyBorder="1" applyAlignment="1" applyProtection="1">
      <alignment horizontal="center" vertical="top" wrapText="1"/>
      <protection locked="0"/>
    </xf>
    <xf numFmtId="0" fontId="8" fillId="24" borderId="24" xfId="0" applyFont="1" applyFill="1" applyBorder="1" applyAlignment="1" applyProtection="1">
      <alignment horizontal="center" vertical="top" wrapText="1"/>
      <protection locked="0"/>
    </xf>
    <xf numFmtId="0" fontId="7" fillId="27" borderId="13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Alignment="1" applyProtection="1">
      <alignment horizontal="justify" vertical="top"/>
      <protection locked="0"/>
    </xf>
    <xf numFmtId="0" fontId="0" fillId="0" borderId="13" xfId="0" applyFont="1" applyFill="1" applyBorder="1" applyAlignment="1" applyProtection="1">
      <alignment horizontal="justify" vertical="top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43" borderId="13" xfId="0" applyFill="1" applyBorder="1" applyAlignment="1" applyProtection="1">
      <alignment vertical="top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1" fontId="0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ill="1" applyBorder="1" applyAlignment="1">
      <alignment vertical="top" wrapText="1"/>
    </xf>
    <xf numFmtId="49" fontId="0" fillId="37" borderId="13" xfId="0" applyNumberFormat="1" applyFill="1" applyBorder="1" applyAlignment="1">
      <alignment vertical="top" wrapText="1"/>
    </xf>
    <xf numFmtId="0" fontId="8" fillId="42" borderId="0" xfId="0" applyFont="1" applyFill="1" applyBorder="1" applyAlignment="1" applyProtection="1">
      <alignment horizontal="left" vertical="top" wrapText="1"/>
    </xf>
    <xf numFmtId="0" fontId="5" fillId="42" borderId="0" xfId="0" applyFont="1" applyFill="1" applyBorder="1" applyAlignment="1" applyProtection="1">
      <alignment horizontal="left" vertical="top" wrapText="1"/>
    </xf>
    <xf numFmtId="0" fontId="0" fillId="38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38" fillId="36" borderId="10" xfId="0" applyFont="1" applyFill="1" applyBorder="1" applyAlignment="1" applyProtection="1">
      <alignment horizontal="center" vertical="top" wrapText="1"/>
      <protection locked="0"/>
    </xf>
    <xf numFmtId="0" fontId="45" fillId="0" borderId="13" xfId="0" applyFont="1" applyFill="1" applyBorder="1" applyAlignment="1" applyProtection="1">
      <alignment horizontal="justify" vertical="center" wrapText="1"/>
      <protection locked="0"/>
    </xf>
    <xf numFmtId="49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>
      <alignment horizontal="justify" vertical="top" wrapText="1"/>
    </xf>
    <xf numFmtId="0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4" borderId="13" xfId="0" applyNumberFormat="1" applyFont="1" applyFill="1" applyBorder="1" applyAlignment="1" applyProtection="1">
      <alignment horizontal="center" vertical="center" wrapText="1"/>
    </xf>
    <xf numFmtId="1" fontId="0" fillId="36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1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26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30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0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26" xfId="0" applyNumberFormat="1" applyFont="1" applyFill="1" applyBorder="1" applyAlignment="1" applyProtection="1">
      <alignment vertical="top" wrapText="1"/>
    </xf>
    <xf numFmtId="1" fontId="0" fillId="28" borderId="33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vertical="top" wrapText="1"/>
    </xf>
    <xf numFmtId="164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30" xfId="0" applyNumberFormat="1" applyFont="1" applyFill="1" applyBorder="1" applyAlignment="1" applyProtection="1">
      <alignment horizontal="center" vertical="top" wrapText="1"/>
    </xf>
    <xf numFmtId="1" fontId="0" fillId="28" borderId="36" xfId="0" applyNumberFormat="1" applyFont="1" applyFill="1" applyBorder="1" applyAlignment="1" applyProtection="1">
      <alignment horizontal="center" vertical="top" wrapText="1"/>
    </xf>
    <xf numFmtId="49" fontId="0" fillId="28" borderId="16" xfId="0" applyNumberFormat="1" applyFont="1" applyFill="1" applyBorder="1" applyAlignment="1" applyProtection="1">
      <alignment horizontal="center" vertical="top" wrapText="1"/>
    </xf>
    <xf numFmtId="0" fontId="0" fillId="28" borderId="24" xfId="0" applyFont="1" applyFill="1" applyBorder="1" applyAlignment="1" applyProtection="1">
      <alignment horizontal="center" textRotation="90" wrapText="1"/>
    </xf>
    <xf numFmtId="0" fontId="0" fillId="28" borderId="57" xfId="0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textRotation="90" wrapText="1"/>
    </xf>
    <xf numFmtId="0" fontId="0" fillId="28" borderId="22" xfId="0" applyFont="1" applyFill="1" applyBorder="1" applyAlignment="1" applyProtection="1">
      <alignment horizontal="center" textRotation="90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36" borderId="13" xfId="0" applyFont="1" applyFill="1" applyBorder="1" applyAlignment="1" applyProtection="1">
      <alignment horizontal="justify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justify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left" vertical="center" wrapText="1"/>
    </xf>
    <xf numFmtId="1" fontId="8" fillId="34" borderId="14" xfId="0" applyNumberFormat="1" applyFont="1" applyFill="1" applyBorder="1" applyAlignment="1" applyProtection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0" xfId="0" applyNumberFormat="1" applyFont="1" applyFill="1" applyBorder="1" applyAlignment="1" applyProtection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1" fontId="8" fillId="25" borderId="20" xfId="0" applyNumberFormat="1" applyFont="1" applyFill="1" applyBorder="1" applyAlignment="1" applyProtection="1">
      <alignment horizontal="center" vertical="center" wrapText="1"/>
    </xf>
    <xf numFmtId="3" fontId="0" fillId="25" borderId="13" xfId="0" applyNumberFormat="1" applyFont="1" applyFill="1" applyBorder="1" applyAlignment="1" applyProtection="1">
      <alignment horizontal="center" vertical="center" wrapText="1"/>
    </xf>
    <xf numFmtId="3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center" wrapText="1"/>
    </xf>
    <xf numFmtId="1" fontId="8" fillId="25" borderId="42" xfId="0" applyNumberFormat="1" applyFont="1" applyFill="1" applyBorder="1" applyAlignment="1" applyProtection="1">
      <alignment horizontal="center" vertical="center" wrapText="1"/>
    </xf>
    <xf numFmtId="1" fontId="8" fillId="25" borderId="19" xfId="0" applyNumberFormat="1" applyFont="1" applyFill="1" applyBorder="1" applyAlignment="1" applyProtection="1">
      <alignment horizontal="center" vertical="center" wrapText="1"/>
    </xf>
    <xf numFmtId="3" fontId="0" fillId="25" borderId="18" xfId="0" applyNumberFormat="1" applyFont="1" applyFill="1" applyBorder="1" applyAlignment="1" applyProtection="1">
      <alignment horizontal="center" vertical="center" wrapText="1"/>
    </xf>
    <xf numFmtId="3" fontId="0" fillId="25" borderId="40" xfId="0" applyNumberFormat="1" applyFont="1" applyFill="1" applyBorder="1" applyAlignment="1" applyProtection="1">
      <alignment horizontal="center" vertical="center" wrapText="1"/>
    </xf>
    <xf numFmtId="3" fontId="0" fillId="25" borderId="46" xfId="0" applyNumberFormat="1" applyFont="1" applyFill="1" applyBorder="1" applyAlignment="1" applyProtection="1">
      <alignment horizontal="center" vertical="center" wrapText="1"/>
    </xf>
    <xf numFmtId="1" fontId="0" fillId="34" borderId="42" xfId="0" applyNumberFormat="1" applyFont="1" applyFill="1" applyBorder="1" applyAlignment="1" applyProtection="1">
      <alignment horizontal="center" vertical="center" wrapText="1"/>
    </xf>
    <xf numFmtId="3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20" xfId="0" applyNumberFormat="1" applyFont="1" applyFill="1" applyBorder="1" applyAlignment="1" applyProtection="1">
      <alignment horizontal="center" vertical="center" wrapText="1"/>
    </xf>
    <xf numFmtId="1" fontId="0" fillId="25" borderId="13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49" fontId="0" fillId="34" borderId="47" xfId="0" applyNumberFormat="1" applyFont="1" applyFill="1" applyBorder="1" applyAlignment="1" applyProtection="1">
      <alignment horizontal="center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left" vertical="top" wrapText="1"/>
    </xf>
    <xf numFmtId="0" fontId="0" fillId="42" borderId="0" xfId="0" applyFont="1" applyFill="1" applyBorder="1" applyAlignment="1" applyProtection="1">
      <alignment horizontal="left" vertical="top" wrapText="1"/>
    </xf>
    <xf numFmtId="1" fontId="0" fillId="42" borderId="0" xfId="0" applyNumberFormat="1" applyFont="1" applyFill="1" applyBorder="1" applyAlignment="1" applyProtection="1">
      <alignment horizontal="left" vertical="top" wrapText="1"/>
    </xf>
    <xf numFmtId="2" fontId="0" fillId="0" borderId="0" xfId="0" applyNumberFormat="1" applyFont="1" applyFill="1" applyBorder="1" applyAlignment="1" applyProtection="1">
      <alignment horizontal="left" vertical="top" wrapText="1"/>
    </xf>
    <xf numFmtId="2" fontId="0" fillId="36" borderId="0" xfId="0" applyNumberFormat="1" applyFont="1" applyFill="1" applyBorder="1" applyAlignment="1" applyProtection="1">
      <alignment horizontal="left" vertical="top" wrapText="1"/>
    </xf>
    <xf numFmtId="1" fontId="0" fillId="36" borderId="0" xfId="0" applyNumberFormat="1" applyFont="1" applyFill="1" applyBorder="1" applyAlignment="1" applyProtection="1">
      <alignment horizontal="left" vertical="top" wrapText="1"/>
    </xf>
    <xf numFmtId="0" fontId="0" fillId="36" borderId="0" xfId="0" applyFont="1" applyFill="1" applyBorder="1" applyAlignment="1" applyProtection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</xf>
    <xf numFmtId="164" fontId="0" fillId="0" borderId="0" xfId="0" applyNumberFormat="1" applyFont="1" applyFill="1" applyBorder="1" applyAlignment="1" applyProtection="1">
      <alignment horizontal="left" vertical="top" wrapText="1"/>
    </xf>
    <xf numFmtId="164" fontId="0" fillId="36" borderId="0" xfId="0" applyNumberFormat="1" applyFont="1" applyFill="1" applyBorder="1" applyAlignment="1" applyProtection="1">
      <alignment horizontal="left" vertical="top" wrapText="1"/>
    </xf>
    <xf numFmtId="2" fontId="8" fillId="42" borderId="0" xfId="0" applyNumberFormat="1" applyFont="1" applyFill="1" applyBorder="1" applyAlignment="1" applyProtection="1">
      <alignment horizontal="left" vertical="top" wrapText="1"/>
    </xf>
    <xf numFmtId="2" fontId="8" fillId="36" borderId="0" xfId="0" applyNumberFormat="1" applyFont="1" applyFill="1" applyBorder="1" applyAlignment="1" applyProtection="1">
      <alignment horizontal="left" vertical="top" wrapText="1"/>
    </xf>
    <xf numFmtId="2" fontId="46" fillId="0" borderId="0" xfId="0" applyNumberFormat="1" applyFont="1" applyFill="1" applyBorder="1" applyAlignment="1" applyProtection="1">
      <alignment horizontal="left" vertical="top" wrapText="1"/>
    </xf>
    <xf numFmtId="0" fontId="0" fillId="42" borderId="0" xfId="0" applyNumberFormat="1" applyFont="1" applyFill="1" applyBorder="1" applyAlignment="1" applyProtection="1">
      <alignment horizontal="left" vertical="top" wrapText="1"/>
    </xf>
    <xf numFmtId="49" fontId="0" fillId="42" borderId="0" xfId="0" applyNumberFormat="1" applyFont="1" applyFill="1" applyBorder="1" applyAlignment="1" applyProtection="1">
      <alignment horizontal="left" vertical="top" wrapText="1"/>
    </xf>
    <xf numFmtId="2" fontId="0" fillId="42" borderId="0" xfId="0" applyNumberFormat="1" applyFont="1" applyFill="1" applyBorder="1" applyAlignment="1" applyProtection="1">
      <alignment horizontal="left" vertical="top" wrapText="1"/>
    </xf>
    <xf numFmtId="1" fontId="8" fillId="25" borderId="25" xfId="0" applyNumberFormat="1" applyFont="1" applyFill="1" applyBorder="1" applyAlignment="1" applyProtection="1">
      <alignment horizontal="center" vertical="center" wrapText="1"/>
    </xf>
    <xf numFmtId="3" fontId="0" fillId="25" borderId="24" xfId="0" applyNumberFormat="1" applyFont="1" applyFill="1" applyBorder="1" applyAlignment="1" applyProtection="1">
      <alignment horizontal="center" vertical="center" wrapText="1"/>
    </xf>
    <xf numFmtId="3" fontId="0" fillId="25" borderId="22" xfId="0" applyNumberFormat="1" applyFont="1" applyFill="1" applyBorder="1" applyAlignment="1" applyProtection="1">
      <alignment horizontal="center" vertical="center" wrapText="1"/>
    </xf>
    <xf numFmtId="1" fontId="8" fillId="25" borderId="24" xfId="0" applyNumberFormat="1" applyFont="1" applyFill="1" applyBorder="1" applyAlignment="1" applyProtection="1">
      <alignment horizontal="center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0" fillId="36" borderId="13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justify" vertical="top"/>
      <protection locked="0"/>
    </xf>
    <xf numFmtId="0" fontId="8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2" fontId="0" fillId="0" borderId="13" xfId="0" applyNumberFormat="1" applyBorder="1">
      <alignment vertical="top"/>
    </xf>
    <xf numFmtId="2" fontId="0" fillId="37" borderId="13" xfId="0" applyNumberFormat="1" applyFill="1" applyBorder="1">
      <alignment vertical="top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6" borderId="24" xfId="0" applyFont="1" applyFill="1" applyBorder="1" applyAlignment="1" applyProtection="1">
      <alignment horizontal="left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0" fontId="0" fillId="28" borderId="24" xfId="0" applyFill="1" applyBorder="1" applyAlignment="1" applyProtection="1">
      <alignment horizontal="center" textRotation="90" wrapText="1"/>
    </xf>
    <xf numFmtId="49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 vertical="top" wrapText="1"/>
    </xf>
    <xf numFmtId="0" fontId="2" fillId="32" borderId="0" xfId="0" applyFont="1" applyFill="1" applyAlignment="1">
      <alignment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49" fontId="8" fillId="46" borderId="44" xfId="0" applyNumberFormat="1" applyFont="1" applyFill="1" applyBorder="1" applyAlignment="1" applyProtection="1">
      <alignment horizontal="center" textRotation="90" wrapText="1"/>
    </xf>
    <xf numFmtId="1" fontId="8" fillId="36" borderId="13" xfId="0" applyNumberFormat="1" applyFont="1" applyFill="1" applyBorder="1" applyAlignment="1" applyProtection="1">
      <alignment horizontal="center" vertical="center" wrapText="1"/>
    </xf>
    <xf numFmtId="1" fontId="8" fillId="36" borderId="17" xfId="0" applyNumberFormat="1" applyFont="1" applyFill="1" applyBorder="1" applyAlignment="1" applyProtection="1">
      <alignment horizontal="center" vertical="center" wrapText="1"/>
    </xf>
    <xf numFmtId="49" fontId="0" fillId="31" borderId="13" xfId="0" applyNumberFormat="1" applyFill="1" applyBorder="1" applyAlignment="1" applyProtection="1">
      <alignment horizontal="center" vertical="top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49" fontId="0" fillId="0" borderId="0" xfId="0" applyNumberFormat="1" applyBorder="1">
      <alignment vertical="top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vertical="center" wrapText="1"/>
      <protection locked="0"/>
    </xf>
    <xf numFmtId="1" fontId="0" fillId="36" borderId="42" xfId="0" applyNumberFormat="1" applyFont="1" applyFill="1" applyBorder="1" applyAlignment="1" applyProtection="1">
      <alignment horizontal="center" vertical="center" wrapText="1"/>
      <protection locked="0"/>
    </xf>
    <xf numFmtId="1" fontId="8" fillId="36" borderId="42" xfId="0" applyNumberFormat="1" applyFont="1" applyFill="1" applyBorder="1" applyAlignment="1" applyProtection="1">
      <alignment horizontal="center" vertical="center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3" fillId="28" borderId="14" xfId="0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0" fontId="3" fillId="28" borderId="15" xfId="0" applyFont="1" applyFill="1" applyBorder="1" applyAlignment="1" applyProtection="1">
      <alignment horizontal="center" vertical="top" wrapText="1"/>
    </xf>
    <xf numFmtId="0" fontId="8" fillId="30" borderId="13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horizontal="center" vertical="center" wrapText="1"/>
    </xf>
    <xf numFmtId="49" fontId="0" fillId="0" borderId="23" xfId="0" applyNumberFormat="1" applyFont="1" applyFill="1" applyBorder="1" applyAlignment="1" applyProtection="1">
      <alignment horizontal="center" vertical="center" wrapText="1"/>
    </xf>
    <xf numFmtId="0" fontId="8" fillId="34" borderId="44" xfId="0" applyNumberFormat="1" applyFont="1" applyFill="1" applyBorder="1" applyAlignment="1" applyProtection="1">
      <alignment horizontal="center" vertical="center" wrapText="1"/>
    </xf>
    <xf numFmtId="0" fontId="0" fillId="34" borderId="44" xfId="0" applyNumberFormat="1" applyFont="1" applyFill="1" applyBorder="1" applyAlignment="1" applyProtection="1">
      <alignment horizontal="center" vertical="center" wrapText="1"/>
    </xf>
    <xf numFmtId="49" fontId="8" fillId="34" borderId="4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31" borderId="13" xfId="0" applyFont="1" applyFill="1" applyBorder="1" applyAlignment="1" applyProtection="1">
      <alignment horizontal="center" vertical="center" wrapText="1"/>
    </xf>
    <xf numFmtId="1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8" borderId="16" xfId="0" applyNumberFormat="1" applyFont="1" applyFill="1" applyBorder="1" applyAlignment="1" applyProtection="1">
      <alignment vertical="top" wrapText="1"/>
    </xf>
    <xf numFmtId="1" fontId="0" fillId="28" borderId="16" xfId="0" applyNumberFormat="1" applyFont="1" applyFill="1" applyBorder="1" applyAlignment="1" applyProtection="1">
      <alignment horizontal="center" vertical="top" wrapText="1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41" borderId="13" xfId="0" applyFont="1" applyFill="1" applyBorder="1" applyAlignment="1">
      <alignment vertical="center"/>
    </xf>
    <xf numFmtId="0" fontId="0" fillId="41" borderId="13" xfId="0" applyFont="1" applyFill="1" applyBorder="1" applyAlignment="1" applyProtection="1">
      <alignment vertical="center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1" fontId="0" fillId="47" borderId="13" xfId="0" applyNumberFormat="1" applyFont="1" applyFill="1" applyBorder="1" applyAlignment="1" applyProtection="1">
      <alignment horizontal="center" vertical="center" wrapText="1"/>
    </xf>
    <xf numFmtId="1" fontId="0" fillId="48" borderId="13" xfId="0" applyNumberFormat="1" applyFon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15" xfId="0" applyNumberFormat="1" applyFont="1" applyFill="1" applyBorder="1" applyAlignment="1" applyProtection="1">
      <alignment horizontal="center" vertical="top" wrapText="1"/>
    </xf>
    <xf numFmtId="49" fontId="0" fillId="28" borderId="10" xfId="0" applyNumberFormat="1" applyFont="1" applyFill="1" applyBorder="1" applyAlignment="1" applyProtection="1">
      <alignment horizontal="center" vertical="top" wrapText="1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49" fontId="8" fillId="28" borderId="10" xfId="0" applyNumberFormat="1" applyFont="1" applyFill="1" applyBorder="1" applyAlignment="1" applyProtection="1">
      <alignment horizontal="center" vertical="top" wrapText="1"/>
    </xf>
    <xf numFmtId="1" fontId="8" fillId="28" borderId="24" xfId="0" applyNumberFormat="1" applyFont="1" applyFill="1" applyBorder="1" applyAlignment="1" applyProtection="1">
      <alignment horizontal="center" textRotation="90" wrapText="1"/>
    </xf>
    <xf numFmtId="0" fontId="8" fillId="28" borderId="57" xfId="0" applyFont="1" applyFill="1" applyBorder="1" applyAlignment="1" applyProtection="1">
      <alignment horizontal="center" vertical="center" wrapText="1"/>
    </xf>
    <xf numFmtId="0" fontId="8" fillId="28" borderId="28" xfId="0" applyFont="1" applyFill="1" applyBorder="1" applyAlignment="1" applyProtection="1">
      <alignment horizontal="center" vertical="top" wrapText="1"/>
    </xf>
    <xf numFmtId="0" fontId="8" fillId="28" borderId="25" xfId="0" applyFont="1" applyFill="1" applyBorder="1" applyAlignment="1" applyProtection="1">
      <alignment horizontal="center" vertical="top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vertical="center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39" fillId="29" borderId="13" xfId="0" applyFont="1" applyFill="1" applyBorder="1" applyAlignment="1" applyProtection="1">
      <alignment horizontal="center" vertical="center" wrapText="1"/>
    </xf>
    <xf numFmtId="0" fontId="39" fillId="37" borderId="13" xfId="0" applyFont="1" applyFill="1" applyBorder="1" applyAlignment="1" applyProtection="1">
      <alignment horizontal="center" vertical="center" wrapText="1"/>
    </xf>
    <xf numFmtId="49" fontId="0" fillId="4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7" borderId="13" xfId="0" applyNumberFormat="1" applyFont="1" applyFill="1" applyBorder="1" applyAlignment="1" applyProtection="1">
      <alignment horizontal="center" vertical="center" wrapText="1"/>
    </xf>
    <xf numFmtId="0" fontId="0" fillId="47" borderId="13" xfId="0" applyFont="1" applyFill="1" applyBorder="1" applyAlignment="1" applyProtection="1">
      <alignment horizontal="center" vertical="center" wrapText="1"/>
      <protection locked="0"/>
    </xf>
    <xf numFmtId="49" fontId="0" fillId="4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8" borderId="13" xfId="0" applyNumberFormat="1" applyFont="1" applyFill="1" applyBorder="1" applyAlignment="1" applyProtection="1">
      <alignment horizontal="center" vertical="center" wrapText="1"/>
    </xf>
    <xf numFmtId="0" fontId="0" fillId="48" borderId="13" xfId="0" applyFont="1" applyFill="1" applyBorder="1" applyAlignment="1" applyProtection="1">
      <alignment horizontal="center" vertical="center" wrapText="1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</xf>
    <xf numFmtId="1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1" fontId="8" fillId="30" borderId="60" xfId="0" applyNumberFormat="1" applyFont="1" applyFill="1" applyBorder="1" applyAlignment="1" applyProtection="1">
      <alignment horizontal="center" vertical="top" wrapText="1"/>
    </xf>
    <xf numFmtId="1" fontId="8" fillId="30" borderId="62" xfId="0" applyNumberFormat="1" applyFont="1" applyFill="1" applyBorder="1" applyAlignment="1" applyProtection="1">
      <alignment horizontal="center" vertical="top" wrapText="1"/>
    </xf>
    <xf numFmtId="1" fontId="3" fillId="28" borderId="13" xfId="0" applyNumberFormat="1" applyFont="1" applyFill="1" applyBorder="1" applyAlignment="1" applyProtection="1">
      <alignment horizontal="center" textRotation="90" wrapText="1"/>
    </xf>
    <xf numFmtId="0" fontId="3" fillId="28" borderId="57" xfId="0" applyFont="1" applyFill="1" applyBorder="1" applyAlignment="1" applyProtection="1">
      <alignment horizontal="center" vertical="top" wrapText="1"/>
    </xf>
    <xf numFmtId="0" fontId="3" fillId="28" borderId="22" xfId="0" applyFont="1" applyFill="1" applyBorder="1" applyAlignment="1" applyProtection="1">
      <alignment horizontal="center" vertical="top" wrapText="1"/>
    </xf>
    <xf numFmtId="49" fontId="8" fillId="30" borderId="65" xfId="0" applyNumberFormat="1" applyFont="1" applyFill="1" applyBorder="1" applyAlignment="1" applyProtection="1">
      <alignment horizontal="left" vertical="top" wrapText="1"/>
    </xf>
    <xf numFmtId="0" fontId="8" fillId="30" borderId="60" xfId="0" applyFont="1" applyFill="1" applyBorder="1" applyAlignment="1" applyProtection="1">
      <alignment horizontal="left" vertical="top" wrapText="1"/>
    </xf>
    <xf numFmtId="0" fontId="8" fillId="30" borderId="59" xfId="0" applyFont="1" applyFill="1" applyBorder="1" applyAlignment="1" applyProtection="1">
      <alignment horizontal="left" vertical="top" wrapText="1"/>
    </xf>
    <xf numFmtId="49" fontId="8" fillId="30" borderId="59" xfId="0" applyNumberFormat="1" applyFont="1" applyFill="1" applyBorder="1" applyAlignment="1" applyProtection="1">
      <alignment horizontal="center" vertical="top" wrapText="1"/>
    </xf>
    <xf numFmtId="49" fontId="8" fillId="30" borderId="62" xfId="0" applyNumberFormat="1" applyFont="1" applyFill="1" applyBorder="1" applyAlignment="1" applyProtection="1">
      <alignment horizontal="center" vertical="top" wrapText="1"/>
    </xf>
    <xf numFmtId="49" fontId="8" fillId="30" borderId="68" xfId="0" applyNumberFormat="1" applyFont="1" applyFill="1" applyBorder="1" applyAlignment="1" applyProtection="1">
      <alignment horizontal="center" vertical="top" wrapText="1"/>
    </xf>
    <xf numFmtId="1" fontId="3" fillId="30" borderId="60" xfId="0" applyNumberFormat="1" applyFont="1" applyFill="1" applyBorder="1" applyAlignment="1" applyProtection="1">
      <alignment horizontal="center" vertical="top" wrapText="1"/>
    </xf>
    <xf numFmtId="1" fontId="8" fillId="30" borderId="59" xfId="0" applyNumberFormat="1" applyFont="1" applyFill="1" applyBorder="1" applyAlignment="1" applyProtection="1">
      <alignment horizontal="center" vertical="top" wrapText="1"/>
    </xf>
    <xf numFmtId="1" fontId="8" fillId="42" borderId="62" xfId="0" applyNumberFormat="1" applyFont="1" applyFill="1" applyBorder="1" applyAlignment="1" applyProtection="1">
      <alignment horizontal="center" vertical="top" wrapText="1"/>
    </xf>
    <xf numFmtId="1" fontId="2" fillId="42" borderId="60" xfId="0" applyNumberFormat="1" applyFont="1" applyFill="1" applyBorder="1" applyAlignment="1" applyProtection="1">
      <alignment horizontal="center" vertical="top" wrapText="1"/>
    </xf>
    <xf numFmtId="1" fontId="8" fillId="42" borderId="59" xfId="0" applyNumberFormat="1" applyFont="1" applyFill="1" applyBorder="1" applyAlignment="1" applyProtection="1">
      <alignment horizontal="center" vertical="top" wrapText="1"/>
    </xf>
    <xf numFmtId="1" fontId="8" fillId="42" borderId="69" xfId="0" applyNumberFormat="1" applyFont="1" applyFill="1" applyBorder="1" applyAlignment="1" applyProtection="1">
      <alignment horizontal="center" vertical="top" wrapText="1"/>
    </xf>
    <xf numFmtId="49" fontId="8" fillId="42" borderId="65" xfId="0" applyNumberFormat="1" applyFont="1" applyFill="1" applyBorder="1" applyAlignment="1" applyProtection="1">
      <alignment horizontal="center" vertical="top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</xf>
    <xf numFmtId="164" fontId="0" fillId="0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vertical="center" wrapText="1"/>
    </xf>
    <xf numFmtId="0" fontId="39" fillId="29" borderId="13" xfId="0" applyFont="1" applyFill="1" applyBorder="1" applyAlignment="1" applyProtection="1">
      <alignment vertical="center" wrapText="1"/>
    </xf>
    <xf numFmtId="0" fontId="0" fillId="36" borderId="13" xfId="0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/>
      <protection locked="0"/>
    </xf>
    <xf numFmtId="0" fontId="0" fillId="41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Font="1" applyFill="1" applyBorder="1" applyAlignment="1" applyProtection="1">
      <alignment vertical="center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49" fontId="0" fillId="41" borderId="13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</xf>
    <xf numFmtId="0" fontId="0" fillId="42" borderId="13" xfId="0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49" fontId="0" fillId="36" borderId="13" xfId="0" applyNumberFormat="1" applyFont="1" applyFill="1" applyBorder="1" applyAlignment="1" applyProtection="1">
      <alignment horizontal="left" vertical="center" wrapText="1"/>
    </xf>
    <xf numFmtId="49" fontId="7" fillId="28" borderId="15" xfId="0" applyNumberFormat="1" applyFont="1" applyFill="1" applyBorder="1" applyAlignment="1" applyProtection="1">
      <alignment horizontal="center"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15" xfId="0" applyFont="1" applyFill="1" applyBorder="1" applyAlignment="1" applyProtection="1">
      <alignment horizontal="center" textRotation="90" wrapText="1"/>
    </xf>
    <xf numFmtId="49" fontId="7" fillId="28" borderId="14" xfId="0" applyNumberFormat="1" applyFont="1" applyFill="1" applyBorder="1" applyAlignment="1" applyProtection="1">
      <alignment horizontal="center" vertical="top" wrapText="1"/>
    </xf>
    <xf numFmtId="0" fontId="0" fillId="48" borderId="13" xfId="0" applyFont="1" applyFill="1" applyBorder="1" applyAlignment="1" applyProtection="1">
      <alignment horizontal="left" vertical="center" wrapText="1"/>
    </xf>
    <xf numFmtId="0" fontId="0" fillId="48" borderId="13" xfId="0" applyFont="1" applyFill="1" applyBorder="1" applyAlignment="1" applyProtection="1">
      <alignment horizontal="left" vertical="center" wrapText="1"/>
      <protection locked="0"/>
    </xf>
    <xf numFmtId="0" fontId="0" fillId="47" borderId="13" xfId="0" applyFont="1" applyFill="1" applyBorder="1" applyAlignment="1" applyProtection="1">
      <alignment horizontal="left" vertical="center" wrapText="1"/>
      <protection locked="0"/>
    </xf>
    <xf numFmtId="0" fontId="48" fillId="47" borderId="13" xfId="0" applyFont="1" applyFill="1" applyBorder="1" applyAlignment="1" applyProtection="1">
      <alignment horizontal="left" vertical="center" wrapText="1"/>
      <protection locked="0"/>
    </xf>
    <xf numFmtId="0" fontId="48" fillId="47" borderId="13" xfId="0" applyFont="1" applyFill="1" applyBorder="1" applyAlignment="1" applyProtection="1">
      <alignment horizontal="left" vertical="center" wrapText="1"/>
    </xf>
    <xf numFmtId="0" fontId="0" fillId="47" borderId="13" xfId="0" applyFont="1" applyFill="1" applyBorder="1" applyAlignment="1" applyProtection="1">
      <alignment horizontal="left" vertical="center" wrapText="1"/>
    </xf>
    <xf numFmtId="49" fontId="0" fillId="47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2" borderId="13" xfId="0" applyNumberFormat="1" applyFill="1" applyBorder="1" applyAlignment="1" applyProtection="1">
      <alignment horizontal="center" vertical="center" wrapText="1"/>
    </xf>
    <xf numFmtId="1" fontId="8" fillId="34" borderId="17" xfId="0" applyNumberFormat="1" applyFont="1" applyFill="1" applyBorder="1" applyAlignment="1" applyProtection="1">
      <alignment horizontal="center" vertical="top" wrapText="1"/>
    </xf>
    <xf numFmtId="1" fontId="7" fillId="34" borderId="17" xfId="0" applyNumberFormat="1" applyFont="1" applyFill="1" applyBorder="1" applyAlignment="1" applyProtection="1">
      <alignment horizontal="center" vertical="top" wrapText="1"/>
    </xf>
    <xf numFmtId="1" fontId="3" fillId="25" borderId="42" xfId="0" applyNumberFormat="1" applyFont="1" applyFill="1" applyBorder="1" applyAlignment="1" applyProtection="1">
      <alignment horizontal="center" vertical="top" wrapText="1"/>
    </xf>
    <xf numFmtId="1" fontId="7" fillId="25" borderId="42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8" fillId="25" borderId="15" xfId="0" applyNumberFormat="1" applyFon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36" borderId="13" xfId="0" applyNumberFormat="1" applyFill="1" applyBorder="1" applyAlignment="1" applyProtection="1">
      <alignment horizontal="center" vertical="center" wrapText="1"/>
      <protection locked="0"/>
    </xf>
    <xf numFmtId="49" fontId="0" fillId="49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>
      <alignment vertical="top" wrapText="1"/>
    </xf>
    <xf numFmtId="1" fontId="0" fillId="50" borderId="13" xfId="0" applyNumberFormat="1" applyFont="1" applyFill="1" applyBorder="1" applyAlignment="1" applyProtection="1">
      <alignment horizontal="center" vertical="center" wrapText="1"/>
    </xf>
    <xf numFmtId="0" fontId="0" fillId="36" borderId="13" xfId="0" applyFill="1" applyBorder="1">
      <alignment vertical="top"/>
    </xf>
    <xf numFmtId="0" fontId="0" fillId="47" borderId="13" xfId="0" applyFill="1" applyBorder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49" fontId="0" fillId="30" borderId="13" xfId="0" applyNumberForma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/>
    </xf>
    <xf numFmtId="0" fontId="4" fillId="32" borderId="0" xfId="0" applyFont="1" applyFill="1" applyAlignment="1">
      <alignment vertical="top" wrapText="1"/>
    </xf>
    <xf numFmtId="0" fontId="4" fillId="24" borderId="24" xfId="0" applyFont="1" applyFill="1" applyBorder="1" applyAlignment="1">
      <alignment vertical="center" textRotation="90" wrapText="1"/>
    </xf>
    <xf numFmtId="0" fontId="6" fillId="0" borderId="4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40" xfId="0" applyFont="1" applyFill="1" applyBorder="1" applyAlignment="1">
      <alignment horizontal="center" vertical="top" wrapText="1"/>
    </xf>
    <xf numFmtId="0" fontId="4" fillId="24" borderId="42" xfId="0" applyFont="1" applyFill="1" applyBorder="1" applyAlignment="1">
      <alignment horizontal="center" vertical="top" wrapText="1"/>
    </xf>
    <xf numFmtId="0" fontId="14" fillId="24" borderId="24" xfId="0" applyFont="1" applyFill="1" applyBorder="1" applyAlignment="1">
      <alignment horizontal="center" textRotation="90" wrapText="1"/>
    </xf>
    <xf numFmtId="0" fontId="14" fillId="24" borderId="47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7" fillId="32" borderId="0" xfId="0" applyFont="1" applyFill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3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left" vertical="top" wrapText="1"/>
    </xf>
    <xf numFmtId="14" fontId="2" fillId="36" borderId="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36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4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3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9" fillId="24" borderId="47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32" borderId="0" xfId="0" applyFont="1" applyFill="1" applyAlignment="1">
      <alignment horizontal="left" vertical="top" wrapText="1"/>
    </xf>
    <xf numFmtId="0" fontId="4" fillId="26" borderId="13" xfId="0" applyFont="1" applyFill="1" applyBorder="1" applyAlignment="1">
      <alignment vertical="top" wrapText="1"/>
    </xf>
    <xf numFmtId="1" fontId="0" fillId="28" borderId="23" xfId="0" applyNumberFormat="1" applyFont="1" applyFill="1" applyBorder="1" applyAlignment="1" applyProtection="1">
      <alignment horizontal="left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49" fontId="0" fillId="28" borderId="22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0" fontId="0" fillId="47" borderId="13" xfId="0" applyFont="1" applyFill="1" applyBorder="1" applyAlignment="1" applyProtection="1">
      <alignment horizontal="left" vertical="center" wrapText="1"/>
      <protection locked="0"/>
    </xf>
    <xf numFmtId="0" fontId="0" fillId="48" borderId="13" xfId="0" applyFont="1" applyFill="1" applyBorder="1" applyAlignment="1" applyProtection="1">
      <alignment horizontal="left" vertical="center" wrapText="1"/>
      <protection locked="0"/>
    </xf>
    <xf numFmtId="49" fontId="39" fillId="38" borderId="13" xfId="0" applyNumberFormat="1" applyFont="1" applyFill="1" applyBorder="1" applyAlignment="1" applyProtection="1">
      <alignment horizontal="left" vertical="center"/>
      <protection locked="0"/>
    </xf>
    <xf numFmtId="49" fontId="8" fillId="28" borderId="29" xfId="0" applyNumberFormat="1" applyFont="1" applyFill="1" applyBorder="1" applyAlignment="1" applyProtection="1">
      <alignment horizontal="center" vertical="top" wrapText="1"/>
    </xf>
    <xf numFmtId="49" fontId="8" fillId="28" borderId="32" xfId="0" applyNumberFormat="1" applyFont="1" applyFill="1" applyBorder="1" applyAlignment="1" applyProtection="1">
      <alignment horizontal="center" vertical="top" wrapText="1"/>
    </xf>
    <xf numFmtId="49" fontId="8" fillId="28" borderId="35" xfId="0" applyNumberFormat="1" applyFont="1" applyFill="1" applyBorder="1" applyAlignment="1" applyProtection="1">
      <alignment horizontal="center" vertical="top" wrapText="1"/>
    </xf>
    <xf numFmtId="49" fontId="8" fillId="28" borderId="36" xfId="0" applyNumberFormat="1" applyFont="1" applyFill="1" applyBorder="1" applyAlignment="1" applyProtection="1">
      <alignment horizontal="center" vertical="top" wrapText="1"/>
    </xf>
    <xf numFmtId="49" fontId="8" fillId="28" borderId="27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8" fillId="28" borderId="24" xfId="0" applyFont="1" applyFill="1" applyBorder="1" applyAlignment="1" applyProtection="1">
      <alignment horizontal="center" vertical="center" wrapText="1"/>
    </xf>
    <xf numFmtId="0" fontId="8" fillId="28" borderId="47" xfId="0" applyFont="1" applyFill="1" applyBorder="1" applyAlignment="1" applyProtection="1">
      <alignment horizontal="center" vertical="center" wrapText="1"/>
    </xf>
    <xf numFmtId="0" fontId="8" fillId="28" borderId="24" xfId="0" applyFont="1" applyFill="1" applyBorder="1" applyAlignment="1" applyProtection="1">
      <alignment horizontal="center" vertical="top" wrapText="1"/>
    </xf>
    <xf numFmtId="0" fontId="8" fillId="28" borderId="47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8" fillId="28" borderId="22" xfId="0" applyNumberFormat="1" applyFont="1" applyFill="1" applyBorder="1" applyAlignment="1" applyProtection="1">
      <alignment horizontal="center" vertical="top" wrapText="1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1" fontId="8" fillId="28" borderId="44" xfId="0" applyNumberFormat="1" applyFont="1" applyFill="1" applyBorder="1" applyAlignment="1" applyProtection="1">
      <alignment horizontal="center" vertical="top" wrapText="1"/>
    </xf>
    <xf numFmtId="1" fontId="8" fillId="28" borderId="11" xfId="0" applyNumberFormat="1" applyFont="1" applyFill="1" applyBorder="1" applyAlignment="1" applyProtection="1">
      <alignment horizontal="center" vertical="top" wrapText="1"/>
    </xf>
    <xf numFmtId="1" fontId="8" fillId="28" borderId="23" xfId="0" applyNumberFormat="1" applyFont="1" applyFill="1" applyBorder="1" applyAlignment="1" applyProtection="1">
      <alignment horizontal="center" vertical="top" wrapText="1"/>
    </xf>
    <xf numFmtId="1" fontId="8" fillId="28" borderId="10" xfId="0" applyNumberFormat="1" applyFont="1" applyFill="1" applyBorder="1" applyAlignment="1" applyProtection="1">
      <alignment horizontal="center" vertical="top" wrapText="1"/>
    </xf>
    <xf numFmtId="0" fontId="8" fillId="28" borderId="40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vertical="top" wrapText="1"/>
    </xf>
    <xf numFmtId="49" fontId="8" fillId="28" borderId="47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49" fontId="8" fillId="46" borderId="22" xfId="0" applyNumberFormat="1" applyFont="1" applyFill="1" applyBorder="1" applyAlignment="1" applyProtection="1">
      <alignment horizontal="center" textRotation="90" wrapText="1"/>
    </xf>
    <xf numFmtId="49" fontId="8" fillId="46" borderId="44" xfId="0" applyNumberFormat="1" applyFont="1" applyFill="1" applyBorder="1" applyAlignment="1" applyProtection="1">
      <alignment horizontal="center" textRotation="90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43" xfId="0" applyNumberFormat="1" applyFont="1" applyFill="1" applyBorder="1" applyAlignment="1" applyProtection="1">
      <alignment horizontal="center" vertical="top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8" fillId="34" borderId="22" xfId="0" applyNumberFormat="1" applyFont="1" applyFill="1" applyBorder="1" applyAlignment="1" applyProtection="1">
      <alignment horizontal="left" vertical="center" wrapText="1"/>
    </xf>
    <xf numFmtId="0" fontId="8" fillId="34" borderId="14" xfId="0" applyNumberFormat="1" applyFont="1" applyFill="1" applyBorder="1" applyAlignment="1" applyProtection="1">
      <alignment horizontal="left" vertical="center" wrapText="1"/>
    </xf>
    <xf numFmtId="0" fontId="8" fillId="34" borderId="23" xfId="0" applyNumberFormat="1" applyFont="1" applyFill="1" applyBorder="1" applyAlignment="1" applyProtection="1">
      <alignment horizontal="left" vertical="center" wrapText="1"/>
    </xf>
    <xf numFmtId="0" fontId="8" fillId="34" borderId="16" xfId="0" applyNumberFormat="1" applyFont="1" applyFill="1" applyBorder="1" applyAlignment="1" applyProtection="1">
      <alignment horizontal="left" vertical="center" wrapText="1"/>
    </xf>
    <xf numFmtId="0" fontId="8" fillId="28" borderId="42" xfId="0" applyFont="1" applyFill="1" applyBorder="1" applyAlignment="1" applyProtection="1">
      <alignment horizontal="center" vertical="top" wrapText="1"/>
    </xf>
    <xf numFmtId="0" fontId="8" fillId="28" borderId="15" xfId="0" applyFont="1" applyFill="1" applyBorder="1" applyAlignment="1" applyProtection="1">
      <alignment horizontal="center" vertical="top" wrapText="1"/>
    </xf>
    <xf numFmtId="0" fontId="8" fillId="28" borderId="11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8" fillId="28" borderId="47" xfId="0" applyFont="1" applyFill="1" applyBorder="1" applyAlignment="1" applyProtection="1">
      <alignment horizontal="center" textRotation="90" wrapText="1"/>
    </xf>
    <xf numFmtId="49" fontId="8" fillId="28" borderId="39" xfId="0" applyNumberFormat="1" applyFont="1" applyFill="1" applyBorder="1" applyAlignment="1" applyProtection="1">
      <alignment horizontal="center" vertical="top" wrapText="1"/>
    </xf>
    <xf numFmtId="49" fontId="8" fillId="28" borderId="37" xfId="0" applyNumberFormat="1" applyFont="1" applyFill="1" applyBorder="1" applyAlignment="1" applyProtection="1">
      <alignment horizontal="center" vertical="top" wrapText="1"/>
    </xf>
    <xf numFmtId="49" fontId="8" fillId="28" borderId="49" xfId="0" applyNumberFormat="1" applyFont="1" applyFill="1" applyBorder="1" applyAlignment="1" applyProtection="1">
      <alignment horizontal="center" vertical="top" wrapText="1"/>
    </xf>
    <xf numFmtId="49" fontId="8" fillId="28" borderId="34" xfId="0" applyNumberFormat="1" applyFont="1" applyFill="1" applyBorder="1" applyAlignment="1" applyProtection="1">
      <alignment horizontal="center" vertical="top" wrapText="1"/>
    </xf>
    <xf numFmtId="49" fontId="8" fillId="28" borderId="28" xfId="0" applyNumberFormat="1" applyFont="1" applyFill="1" applyBorder="1" applyAlignment="1" applyProtection="1">
      <alignment horizontal="center" vertical="top" wrapText="1"/>
    </xf>
    <xf numFmtId="49" fontId="8" fillId="28" borderId="33" xfId="0" applyNumberFormat="1" applyFont="1" applyFill="1" applyBorder="1" applyAlignment="1" applyProtection="1">
      <alignment horizontal="center" vertical="top" wrapText="1"/>
    </xf>
    <xf numFmtId="0" fontId="39" fillId="37" borderId="13" xfId="0" applyFont="1" applyFill="1" applyBorder="1" applyAlignment="1" applyProtection="1">
      <alignment horizontal="left" vertical="center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40" xfId="0" applyFont="1" applyFill="1" applyBorder="1" applyAlignment="1" applyProtection="1">
      <alignment horizontal="left" vertical="center" wrapText="1"/>
    </xf>
    <xf numFmtId="0" fontId="8" fillId="34" borderId="42" xfId="0" applyFont="1" applyFill="1" applyBorder="1" applyAlignment="1" applyProtection="1">
      <alignment horizontal="left" vertical="center" wrapText="1"/>
    </xf>
    <xf numFmtId="49" fontId="8" fillId="28" borderId="67" xfId="0" applyNumberFormat="1" applyFont="1" applyFill="1" applyBorder="1" applyAlignment="1" applyProtection="1">
      <alignment horizontal="center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0" fillId="0" borderId="47" xfId="0" applyFont="1" applyBorder="1" applyAlignment="1" applyProtection="1"/>
    <xf numFmtId="49" fontId="8" fillId="28" borderId="57" xfId="0" applyNumberFormat="1" applyFont="1" applyFill="1" applyBorder="1" applyAlignment="1" applyProtection="1">
      <alignment horizontal="center" vertical="top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2" xfId="0" applyFont="1" applyFill="1" applyBorder="1" applyAlignment="1" applyProtection="1">
      <alignment horizontal="center" textRotation="90" wrapText="1"/>
    </xf>
    <xf numFmtId="1" fontId="0" fillId="25" borderId="45" xfId="0" applyNumberFormat="1" applyFont="1" applyFill="1" applyBorder="1" applyAlignment="1" applyProtection="1">
      <alignment horizontal="center" vertical="center" wrapText="1"/>
    </xf>
    <xf numFmtId="1" fontId="0" fillId="25" borderId="40" xfId="0" applyNumberFormat="1" applyFont="1" applyFill="1" applyBorder="1" applyAlignment="1" applyProtection="1">
      <alignment horizontal="center" vertical="center" wrapText="1"/>
    </xf>
    <xf numFmtId="1" fontId="0" fillId="25" borderId="46" xfId="0" applyNumberFormat="1" applyFont="1" applyFill="1" applyBorder="1" applyAlignment="1" applyProtection="1">
      <alignment horizontal="center" vertical="center" wrapText="1"/>
    </xf>
    <xf numFmtId="0" fontId="0" fillId="34" borderId="17" xfId="0" applyFont="1" applyFill="1" applyBorder="1" applyAlignment="1" applyProtection="1">
      <alignment horizontal="left" vertical="center" wrapText="1"/>
    </xf>
    <xf numFmtId="0" fontId="0" fillId="34" borderId="40" xfId="0" applyFont="1" applyFill="1" applyBorder="1" applyAlignment="1" applyProtection="1">
      <alignment horizontal="left" vertical="center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1" xfId="0" applyNumberFormat="1" applyFont="1" applyFill="1" applyBorder="1" applyAlignment="1" applyProtection="1">
      <alignment horizontal="center" vertical="center" wrapText="1"/>
    </xf>
    <xf numFmtId="1" fontId="8" fillId="25" borderId="45" xfId="0" applyNumberFormat="1" applyFont="1" applyFill="1" applyBorder="1" applyAlignment="1" applyProtection="1">
      <alignment horizontal="center" vertical="center" wrapText="1"/>
    </xf>
    <xf numFmtId="1" fontId="0" fillId="25" borderId="52" xfId="0" applyNumberFormat="1" applyFont="1" applyFill="1" applyBorder="1" applyAlignment="1" applyProtection="1">
      <alignment horizontal="center" vertical="center" wrapText="1"/>
    </xf>
    <xf numFmtId="1" fontId="0" fillId="25" borderId="31" xfId="0" applyNumberFormat="1" applyFont="1" applyFill="1" applyBorder="1" applyAlignment="1" applyProtection="1">
      <alignment horizontal="center" vertical="center" wrapText="1"/>
    </xf>
    <xf numFmtId="1" fontId="0" fillId="25" borderId="18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1" fontId="0" fillId="25" borderId="17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41" xfId="0" applyNumberFormat="1" applyFont="1" applyFill="1" applyBorder="1" applyAlignment="1" applyProtection="1">
      <alignment horizontal="center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40" xfId="0" applyNumberFormat="1" applyFont="1" applyFill="1" applyBorder="1" applyAlignment="1" applyProtection="1">
      <alignment horizontal="center" vertical="center" wrapText="1"/>
    </xf>
    <xf numFmtId="1" fontId="0" fillId="25" borderId="51" xfId="0" applyNumberFormat="1" applyFont="1" applyFill="1" applyBorder="1" applyAlignment="1" applyProtection="1">
      <alignment horizontal="center" vertical="center" wrapText="1"/>
    </xf>
    <xf numFmtId="2" fontId="0" fillId="25" borderId="18" xfId="0" applyNumberFormat="1" applyFont="1" applyFill="1" applyBorder="1" applyAlignment="1" applyProtection="1">
      <alignment horizontal="center" vertical="center" wrapText="1"/>
    </xf>
    <xf numFmtId="2" fontId="0" fillId="25" borderId="31" xfId="0" applyNumberFormat="1" applyFont="1" applyFill="1" applyBorder="1" applyAlignment="1" applyProtection="1">
      <alignment horizontal="center" vertical="center" wrapText="1"/>
    </xf>
    <xf numFmtId="2" fontId="0" fillId="25" borderId="19" xfId="0" applyNumberFormat="1" applyFont="1" applyFill="1" applyBorder="1" applyAlignment="1" applyProtection="1">
      <alignment horizontal="center" vertical="center" wrapText="1"/>
    </xf>
    <xf numFmtId="164" fontId="0" fillId="25" borderId="46" xfId="0" applyNumberFormat="1" applyFont="1" applyFill="1" applyBorder="1" applyAlignment="1" applyProtection="1">
      <alignment horizontal="center" vertical="center" wrapText="1"/>
    </xf>
    <xf numFmtId="164" fontId="0" fillId="25" borderId="31" xfId="0" applyNumberFormat="1" applyFont="1" applyFill="1" applyBorder="1" applyAlignment="1" applyProtection="1">
      <alignment horizontal="center" vertical="center" wrapText="1"/>
    </xf>
    <xf numFmtId="164" fontId="0" fillId="25" borderId="45" xfId="0" applyNumberFormat="1" applyFont="1" applyFill="1" applyBorder="1" applyAlignment="1" applyProtection="1">
      <alignment horizontal="center" vertical="center" wrapText="1"/>
    </xf>
    <xf numFmtId="2" fontId="0" fillId="25" borderId="46" xfId="0" applyNumberFormat="1" applyFont="1" applyFill="1" applyBorder="1" applyAlignment="1" applyProtection="1">
      <alignment horizontal="center" vertical="center" wrapText="1"/>
    </xf>
    <xf numFmtId="2" fontId="0" fillId="25" borderId="45" xfId="0" applyNumberFormat="1" applyFont="1" applyFill="1" applyBorder="1" applyAlignment="1" applyProtection="1">
      <alignment horizontal="center" vertical="center" wrapText="1"/>
    </xf>
    <xf numFmtId="2" fontId="8" fillId="25" borderId="18" xfId="0" applyNumberFormat="1" applyFont="1" applyFill="1" applyBorder="1" applyAlignment="1" applyProtection="1">
      <alignment horizontal="center" vertical="center" wrapText="1"/>
    </xf>
    <xf numFmtId="2" fontId="8" fillId="25" borderId="31" xfId="0" applyNumberFormat="1" applyFont="1" applyFill="1" applyBorder="1" applyAlignment="1" applyProtection="1">
      <alignment horizontal="center" vertical="center" wrapText="1"/>
    </xf>
    <xf numFmtId="2" fontId="8" fillId="25" borderId="45" xfId="0" applyNumberFormat="1" applyFont="1" applyFill="1" applyBorder="1" applyAlignment="1" applyProtection="1">
      <alignment horizontal="center" vertical="center" wrapText="1"/>
    </xf>
    <xf numFmtId="2" fontId="0" fillId="25" borderId="52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0" fontId="0" fillId="31" borderId="16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ill="1" applyBorder="1" applyAlignment="1" applyProtection="1">
      <alignment horizontal="left" vertical="center" wrapText="1"/>
    </xf>
    <xf numFmtId="0" fontId="0" fillId="34" borderId="42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6" borderId="12" xfId="0" applyFont="1" applyFill="1" applyBorder="1" applyAlignment="1">
      <alignment vertical="top" wrapText="1"/>
    </xf>
    <xf numFmtId="0" fontId="3" fillId="28" borderId="23" xfId="0" applyFont="1" applyFill="1" applyBorder="1" applyAlignment="1" applyProtection="1">
      <alignment horizontal="center" vertical="top" wrapText="1"/>
    </xf>
    <xf numFmtId="0" fontId="3" fillId="28" borderId="16" xfId="0" applyFont="1" applyFill="1" applyBorder="1" applyAlignment="1" applyProtection="1">
      <alignment horizontal="center" vertical="top" wrapText="1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40" xfId="0" applyFont="1" applyFill="1" applyBorder="1" applyAlignment="1" applyProtection="1">
      <alignment horizontal="left" vertical="center" wrapText="1"/>
      <protection locked="0"/>
    </xf>
    <xf numFmtId="0" fontId="0" fillId="37" borderId="42" xfId="0" applyFont="1" applyFill="1" applyBorder="1" applyAlignment="1" applyProtection="1">
      <alignment horizontal="left" vertical="center" wrapText="1"/>
      <protection locked="0"/>
    </xf>
    <xf numFmtId="0" fontId="0" fillId="47" borderId="17" xfId="0" applyFont="1" applyFill="1" applyBorder="1" applyAlignment="1" applyProtection="1">
      <alignment horizontal="left" vertical="center" wrapText="1"/>
      <protection locked="0"/>
    </xf>
    <xf numFmtId="0" fontId="0" fillId="47" borderId="40" xfId="0" applyFont="1" applyFill="1" applyBorder="1" applyAlignment="1" applyProtection="1">
      <alignment horizontal="left" vertical="center" wrapText="1"/>
      <protection locked="0"/>
    </xf>
    <xf numFmtId="0" fontId="0" fillId="47" borderId="42" xfId="0" applyFont="1" applyFill="1" applyBorder="1" applyAlignment="1" applyProtection="1">
      <alignment horizontal="left" vertical="center" wrapText="1"/>
      <protection locked="0"/>
    </xf>
    <xf numFmtId="49" fontId="0" fillId="48" borderId="17" xfId="0" applyNumberFormat="1" applyFont="1" applyFill="1" applyBorder="1" applyAlignment="1" applyProtection="1">
      <alignment horizontal="left" vertical="center" wrapText="1"/>
    </xf>
    <xf numFmtId="49" fontId="0" fillId="48" borderId="40" xfId="0" applyNumberFormat="1" applyFont="1" applyFill="1" applyBorder="1" applyAlignment="1" applyProtection="1">
      <alignment horizontal="left" vertical="center" wrapText="1"/>
    </xf>
    <xf numFmtId="49" fontId="0" fillId="48" borderId="42" xfId="0" applyNumberFormat="1" applyFont="1" applyFill="1" applyBorder="1" applyAlignment="1" applyProtection="1">
      <alignment horizontal="left" vertical="center" wrapText="1"/>
    </xf>
    <xf numFmtId="0" fontId="0" fillId="48" borderId="17" xfId="0" applyFont="1" applyFill="1" applyBorder="1" applyAlignment="1" applyProtection="1">
      <alignment horizontal="left" vertical="center" wrapText="1"/>
    </xf>
    <xf numFmtId="0" fontId="0" fillId="48" borderId="40" xfId="0" applyFont="1" applyFill="1" applyBorder="1" applyAlignment="1" applyProtection="1">
      <alignment horizontal="left" vertical="center" wrapText="1"/>
    </xf>
    <xf numFmtId="0" fontId="0" fillId="48" borderId="42" xfId="0" applyFont="1" applyFill="1" applyBorder="1" applyAlignment="1" applyProtection="1">
      <alignment horizontal="left" vertical="center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43" xfId="0" applyNumberFormat="1" applyFont="1" applyFill="1" applyBorder="1" applyAlignment="1" applyProtection="1">
      <alignment horizontal="center" vertical="top" wrapText="1"/>
    </xf>
    <xf numFmtId="49" fontId="3" fillId="28" borderId="32" xfId="0" applyNumberFormat="1" applyFont="1" applyFill="1" applyBorder="1" applyAlignment="1" applyProtection="1">
      <alignment horizontal="center" vertical="top" wrapText="1"/>
    </xf>
    <xf numFmtId="49" fontId="3" fillId="28" borderId="64" xfId="0" applyNumberFormat="1" applyFont="1" applyFill="1" applyBorder="1" applyAlignment="1" applyProtection="1">
      <alignment horizontal="center" vertical="top" wrapText="1"/>
    </xf>
    <xf numFmtId="49" fontId="3" fillId="28" borderId="66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textRotation="90" wrapText="1"/>
    </xf>
    <xf numFmtId="0" fontId="3" fillId="28" borderId="22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vertical="top" wrapText="1"/>
    </xf>
    <xf numFmtId="0" fontId="3" fillId="28" borderId="11" xfId="0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1" fontId="2" fillId="25" borderId="14" xfId="0" applyNumberFormat="1" applyFont="1" applyFill="1" applyBorder="1" applyAlignment="1" applyProtection="1">
      <alignment horizontal="center" vertical="center" wrapText="1"/>
    </xf>
    <xf numFmtId="1" fontId="2" fillId="25" borderId="15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8" fillId="25" borderId="42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42" xfId="0" applyNumberFormat="1" applyFont="1" applyFill="1" applyBorder="1" applyAlignment="1" applyProtection="1">
      <alignment horizontal="center" vertical="center" wrapText="1"/>
    </xf>
    <xf numFmtId="1" fontId="2" fillId="25" borderId="41" xfId="0" applyNumberFormat="1" applyFont="1" applyFill="1" applyBorder="1" applyAlignment="1" applyProtection="1">
      <alignment horizontal="center" vertical="center" wrapText="1"/>
    </xf>
    <xf numFmtId="1" fontId="2" fillId="25" borderId="22" xfId="0" applyNumberFormat="1" applyFont="1" applyFill="1" applyBorder="1" applyAlignment="1" applyProtection="1">
      <alignment horizontal="center" vertical="center" wrapText="1"/>
    </xf>
    <xf numFmtId="0" fontId="7" fillId="34" borderId="17" xfId="0" applyFont="1" applyFill="1" applyBorder="1" applyAlignment="1" applyProtection="1">
      <alignment horizontal="left" vertical="top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1" fontId="2" fillId="25" borderId="16" xfId="0" applyNumberFormat="1" applyFont="1" applyFill="1" applyBorder="1" applyAlignment="1" applyProtection="1">
      <alignment horizontal="center" vertical="center" wrapText="1"/>
    </xf>
    <xf numFmtId="1" fontId="2" fillId="25" borderId="10" xfId="0" applyNumberFormat="1" applyFont="1" applyFill="1" applyBorder="1" applyAlignment="1" applyProtection="1">
      <alignment horizontal="center" vertical="center" wrapText="1"/>
    </xf>
    <xf numFmtId="1" fontId="2" fillId="25" borderId="23" xfId="0" applyNumberFormat="1" applyFont="1" applyFill="1" applyBorder="1" applyAlignment="1" applyProtection="1">
      <alignment horizontal="center" vertical="center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1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42" xfId="0" applyNumberFormat="1" applyFont="1" applyFill="1" applyBorder="1" applyAlignment="1" applyProtection="1">
      <alignment horizontal="center" vertical="top" wrapText="1"/>
    </xf>
    <xf numFmtId="164" fontId="2" fillId="25" borderId="46" xfId="0" applyNumberFormat="1" applyFont="1" applyFill="1" applyBorder="1" applyAlignment="1" applyProtection="1">
      <alignment horizontal="center" vertical="top" wrapText="1"/>
    </xf>
    <xf numFmtId="164" fontId="2" fillId="25" borderId="31" xfId="0" applyNumberFormat="1" applyFont="1" applyFill="1" applyBorder="1" applyAlignment="1" applyProtection="1">
      <alignment horizontal="center" vertical="top" wrapText="1"/>
    </xf>
    <xf numFmtId="164" fontId="2" fillId="25" borderId="45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14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31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1" fontId="2" fillId="25" borderId="46" xfId="0" applyNumberFormat="1" applyFont="1" applyFill="1" applyBorder="1" applyAlignment="1" applyProtection="1">
      <alignment horizontal="center" vertical="top" wrapText="1"/>
    </xf>
    <xf numFmtId="1" fontId="2" fillId="25" borderId="45" xfId="0" applyNumberFormat="1" applyFont="1" applyFill="1" applyBorder="1" applyAlignment="1" applyProtection="1">
      <alignment horizontal="center" vertical="top" wrapText="1"/>
    </xf>
    <xf numFmtId="164" fontId="2" fillId="25" borderId="41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42" xfId="0" applyNumberFormat="1" applyFont="1" applyFill="1" applyBorder="1" applyAlignment="1" applyProtection="1">
      <alignment horizontal="center" vertical="top" wrapText="1"/>
    </xf>
    <xf numFmtId="1" fontId="2" fillId="25" borderId="41" xfId="0" applyNumberFormat="1" applyFont="1" applyFill="1" applyBorder="1" applyAlignment="1" applyProtection="1">
      <alignment horizontal="center" vertical="top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47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23" xfId="0" applyNumberFormat="1" applyFont="1" applyFill="1" applyBorder="1" applyAlignment="1" applyProtection="1">
      <alignment horizontal="center" vertical="top" wrapText="1"/>
    </xf>
    <xf numFmtId="49" fontId="3" fillId="28" borderId="67" xfId="0" applyNumberFormat="1" applyFont="1" applyFill="1" applyBorder="1" applyAlignment="1" applyProtection="1">
      <alignment horizontal="center" vertical="top" wrapText="1"/>
    </xf>
    <xf numFmtId="49" fontId="3" fillId="28" borderId="34" xfId="0" applyNumberFormat="1" applyFont="1" applyFill="1" applyBorder="1" applyAlignment="1" applyProtection="1">
      <alignment horizontal="center" vertical="top" wrapText="1"/>
    </xf>
    <xf numFmtId="49" fontId="3" fillId="28" borderId="30" xfId="0" applyNumberFormat="1" applyFont="1" applyFill="1" applyBorder="1" applyAlignment="1" applyProtection="1">
      <alignment horizontal="center" vertical="top" wrapText="1"/>
    </xf>
    <xf numFmtId="49" fontId="3" fillId="28" borderId="36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0" fontId="0" fillId="42" borderId="13" xfId="0" applyFont="1" applyFill="1" applyBorder="1" applyAlignment="1" applyProtection="1">
      <alignment horizontal="left" vertical="center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0" fillId="42" borderId="17" xfId="0" applyFont="1" applyFill="1" applyBorder="1" applyAlignment="1" applyProtection="1">
      <alignment horizontal="left" vertical="center" wrapText="1"/>
    </xf>
    <xf numFmtId="0" fontId="0" fillId="42" borderId="40" xfId="0" applyFont="1" applyFill="1" applyBorder="1" applyAlignment="1" applyProtection="1">
      <alignment horizontal="left" vertical="center" wrapText="1"/>
    </xf>
    <xf numFmtId="0" fontId="0" fillId="42" borderId="42" xfId="0" applyFont="1" applyFill="1" applyBorder="1" applyAlignment="1" applyProtection="1">
      <alignment horizontal="left" vertical="center" wrapText="1"/>
    </xf>
    <xf numFmtId="0" fontId="3" fillId="28" borderId="40" xfId="0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0" fontId="3" fillId="34" borderId="23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1" fontId="3" fillId="28" borderId="22" xfId="0" applyNumberFormat="1" applyFont="1" applyFill="1" applyBorder="1" applyAlignment="1" applyProtection="1">
      <alignment horizontal="center" vertical="center" wrapText="1"/>
    </xf>
    <xf numFmtId="1" fontId="3" fillId="28" borderId="15" xfId="0" applyNumberFormat="1" applyFont="1" applyFill="1" applyBorder="1" applyAlignment="1" applyProtection="1">
      <alignment horizontal="center" vertical="center" wrapText="1"/>
    </xf>
    <xf numFmtId="1" fontId="3" fillId="28" borderId="44" xfId="0" applyNumberFormat="1" applyFont="1" applyFill="1" applyBorder="1" applyAlignment="1" applyProtection="1">
      <alignment horizontal="center" vertical="center" wrapText="1"/>
    </xf>
    <xf numFmtId="1" fontId="3" fillId="28" borderId="11" xfId="0" applyNumberFormat="1" applyFont="1" applyFill="1" applyBorder="1" applyAlignment="1" applyProtection="1">
      <alignment horizontal="center" vertical="center" wrapText="1"/>
    </xf>
    <xf numFmtId="1" fontId="3" fillId="28" borderId="23" xfId="0" applyNumberFormat="1" applyFont="1" applyFill="1" applyBorder="1" applyAlignment="1" applyProtection="1">
      <alignment horizontal="center" vertical="center" wrapText="1"/>
    </xf>
    <xf numFmtId="1" fontId="3" fillId="28" borderId="10" xfId="0" applyNumberFormat="1" applyFont="1" applyFill="1" applyBorder="1" applyAlignment="1" applyProtection="1">
      <alignment horizontal="center" vertical="center" wrapText="1"/>
    </xf>
    <xf numFmtId="0" fontId="3" fillId="28" borderId="61" xfId="0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textRotation="90" wrapText="1"/>
    </xf>
    <xf numFmtId="0" fontId="3" fillId="28" borderId="47" xfId="0" applyFont="1" applyFill="1" applyBorder="1" applyAlignment="1" applyProtection="1">
      <alignment horizontal="center" textRotation="90" wrapText="1"/>
    </xf>
    <xf numFmtId="0" fontId="0" fillId="0" borderId="47" xfId="0" applyBorder="1" applyAlignment="1" applyProtection="1"/>
    <xf numFmtId="49" fontId="44" fillId="37" borderId="17" xfId="0" applyNumberFormat="1" applyFont="1" applyFill="1" applyBorder="1" applyAlignment="1" applyProtection="1">
      <alignment horizontal="center" vertical="center" textRotation="90" wrapText="1"/>
    </xf>
    <xf numFmtId="49" fontId="44" fillId="37" borderId="13" xfId="0" applyNumberFormat="1" applyFont="1" applyFill="1" applyBorder="1" applyAlignment="1" applyProtection="1">
      <alignment horizontal="center" vertical="center" textRotation="90" wrapText="1"/>
    </xf>
    <xf numFmtId="0" fontId="3" fillId="28" borderId="24" xfId="0" applyFont="1" applyFill="1" applyBorder="1" applyAlignment="1" applyProtection="1">
      <alignment horizontal="center" vertical="top" wrapText="1"/>
    </xf>
    <xf numFmtId="0" fontId="3" fillId="28" borderId="47" xfId="0" applyFont="1" applyFill="1" applyBorder="1" applyAlignment="1" applyProtection="1">
      <alignment horizontal="center" vertical="top" wrapText="1"/>
    </xf>
    <xf numFmtId="0" fontId="3" fillId="28" borderId="12" xfId="0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vertical="center" wrapText="1"/>
    </xf>
    <xf numFmtId="0" fontId="3" fillId="28" borderId="47" xfId="0" applyFont="1" applyFill="1" applyBorder="1" applyAlignment="1" applyProtection="1">
      <alignment horizontal="center" vertical="center" wrapText="1"/>
    </xf>
    <xf numFmtId="0" fontId="3" fillId="28" borderId="59" xfId="0" applyFont="1" applyFill="1" applyBorder="1" applyAlignment="1" applyProtection="1">
      <alignment horizontal="center" vertical="center" wrapText="1"/>
    </xf>
    <xf numFmtId="1" fontId="3" fillId="28" borderId="33" xfId="0" applyNumberFormat="1" applyFont="1" applyFill="1" applyBorder="1" applyAlignment="1" applyProtection="1">
      <alignment horizontal="center" vertical="top" wrapText="1"/>
    </xf>
    <xf numFmtId="1" fontId="3" fillId="28" borderId="26" xfId="0" applyNumberFormat="1" applyFont="1" applyFill="1" applyBorder="1" applyAlignment="1" applyProtection="1">
      <alignment horizontal="center" vertical="top" wrapText="1"/>
    </xf>
    <xf numFmtId="1" fontId="3" fillId="28" borderId="50" xfId="0" applyNumberFormat="1" applyFont="1" applyFill="1" applyBorder="1" applyAlignment="1" applyProtection="1">
      <alignment horizontal="center" vertical="top" wrapText="1"/>
    </xf>
    <xf numFmtId="1" fontId="3" fillId="28" borderId="48" xfId="0" applyNumberFormat="1" applyFont="1" applyFill="1" applyBorder="1" applyAlignment="1" applyProtection="1">
      <alignment horizontal="center" vertical="top" wrapText="1"/>
    </xf>
    <xf numFmtId="1" fontId="3" fillId="28" borderId="36" xfId="0" applyNumberFormat="1" applyFont="1" applyFill="1" applyBorder="1" applyAlignment="1" applyProtection="1">
      <alignment horizontal="center" vertical="top" wrapText="1"/>
    </xf>
    <xf numFmtId="1" fontId="3" fillId="28" borderId="30" xfId="0" applyNumberFormat="1" applyFont="1" applyFill="1" applyBorder="1" applyAlignment="1" applyProtection="1">
      <alignment horizontal="center" vertical="top" wrapText="1"/>
    </xf>
    <xf numFmtId="0" fontId="3" fillId="28" borderId="36" xfId="0" applyFont="1" applyFill="1" applyBorder="1" applyAlignment="1" applyProtection="1">
      <alignment horizontal="center" vertical="top" wrapText="1"/>
    </xf>
    <xf numFmtId="0" fontId="8" fillId="30" borderId="54" xfId="0" applyFont="1" applyFill="1" applyBorder="1" applyAlignment="1" applyProtection="1">
      <alignment horizontal="left" vertical="center" wrapText="1"/>
    </xf>
    <xf numFmtId="0" fontId="8" fillId="30" borderId="55" xfId="0" applyFont="1" applyFill="1" applyBorder="1" applyAlignment="1" applyProtection="1">
      <alignment horizontal="left" vertical="center" wrapText="1"/>
    </xf>
    <xf numFmtId="0" fontId="8" fillId="37" borderId="23" xfId="0" applyFont="1" applyFill="1" applyBorder="1" applyAlignment="1" applyProtection="1">
      <alignment horizontal="left" vertical="center" wrapText="1"/>
    </xf>
    <xf numFmtId="0" fontId="8" fillId="37" borderId="16" xfId="0" applyFont="1" applyFill="1" applyBorder="1" applyAlignment="1" applyProtection="1">
      <alignment horizontal="left" vertical="center" wrapText="1"/>
    </xf>
    <xf numFmtId="0" fontId="8" fillId="37" borderId="17" xfId="0" applyFont="1" applyFill="1" applyBorder="1" applyAlignment="1" applyProtection="1">
      <alignment horizontal="left" vertical="center" wrapText="1"/>
    </xf>
    <xf numFmtId="0" fontId="8" fillId="37" borderId="40" xfId="0" applyFont="1" applyFill="1" applyBorder="1" applyAlignment="1" applyProtection="1">
      <alignment horizontal="left" vertical="center" wrapText="1"/>
    </xf>
    <xf numFmtId="0" fontId="8" fillId="37" borderId="41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/>
    <xf numFmtId="0" fontId="3" fillId="28" borderId="12" xfId="0" applyFont="1" applyFill="1" applyBorder="1" applyAlignment="1" applyProtection="1">
      <alignment horizontal="center" textRotation="90" wrapText="1"/>
    </xf>
    <xf numFmtId="0" fontId="39" fillId="37" borderId="17" xfId="0" applyFont="1" applyFill="1" applyBorder="1" applyAlignment="1" applyProtection="1">
      <alignment horizontal="left" vertical="center" wrapText="1"/>
    </xf>
    <xf numFmtId="0" fontId="39" fillId="37" borderId="40" xfId="0" applyFont="1" applyFill="1" applyBorder="1" applyAlignment="1" applyProtection="1">
      <alignment horizontal="left" vertical="center" wrapText="1"/>
    </xf>
    <xf numFmtId="0" fontId="3" fillId="28" borderId="18" xfId="0" applyFont="1" applyFill="1" applyBorder="1" applyAlignment="1" applyProtection="1">
      <alignment horizontal="center" textRotation="90" wrapText="1"/>
    </xf>
    <xf numFmtId="0" fontId="3" fillId="28" borderId="44" xfId="0" applyFont="1" applyFill="1" applyBorder="1" applyAlignment="1" applyProtection="1">
      <alignment horizontal="center" vertical="center" wrapText="1"/>
    </xf>
    <xf numFmtId="0" fontId="3" fillId="28" borderId="23" xfId="0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center" vertical="top"/>
    </xf>
    <xf numFmtId="0" fontId="9" fillId="31" borderId="17" xfId="0" applyFont="1" applyFill="1" applyBorder="1" applyAlignment="1" applyProtection="1">
      <alignment horizontal="center" vertical="top" wrapText="1"/>
    </xf>
    <xf numFmtId="0" fontId="9" fillId="31" borderId="42" xfId="0" applyFont="1" applyFill="1" applyBorder="1" applyAlignment="1" applyProtection="1">
      <alignment horizontal="center" vertical="top" wrapText="1"/>
    </xf>
    <xf numFmtId="164" fontId="9" fillId="31" borderId="17" xfId="0" applyNumberFormat="1" applyFont="1" applyFill="1" applyBorder="1" applyAlignment="1" applyProtection="1">
      <alignment horizontal="center" vertical="top" wrapText="1"/>
    </xf>
    <xf numFmtId="164" fontId="9" fillId="31" borderId="42" xfId="0" applyNumberFormat="1" applyFont="1" applyFill="1" applyBorder="1" applyAlignment="1" applyProtection="1">
      <alignment horizontal="center" vertical="top" wrapText="1"/>
    </xf>
    <xf numFmtId="49" fontId="0" fillId="27" borderId="17" xfId="36" applyNumberFormat="1" applyFont="1" applyFill="1" applyBorder="1" applyAlignment="1" applyProtection="1">
      <alignment horizontal="left" vertical="top" wrapText="1"/>
    </xf>
    <xf numFmtId="49" fontId="7" fillId="27" borderId="40" xfId="36" applyNumberFormat="1" applyFont="1" applyFill="1" applyBorder="1" applyAlignment="1" applyProtection="1">
      <alignment horizontal="left" vertical="top" wrapText="1"/>
    </xf>
    <xf numFmtId="49" fontId="7" fillId="27" borderId="42" xfId="36" applyNumberFormat="1" applyFont="1" applyFill="1" applyBorder="1" applyAlignment="1" applyProtection="1">
      <alignment horizontal="left" vertical="top" wrapText="1"/>
    </xf>
    <xf numFmtId="49" fontId="7" fillId="27" borderId="17" xfId="36" applyNumberFormat="1" applyFont="1" applyFill="1" applyBorder="1" applyAlignment="1" applyProtection="1">
      <alignment horizontal="left" vertical="top" wrapText="1"/>
    </xf>
    <xf numFmtId="49" fontId="7" fillId="26" borderId="17" xfId="36" applyNumberFormat="1" applyFont="1" applyFill="1" applyBorder="1" applyAlignment="1" applyProtection="1">
      <alignment horizontal="left" vertical="top" wrapText="1"/>
    </xf>
    <xf numFmtId="49" fontId="7" fillId="26" borderId="40" xfId="36" applyNumberFormat="1" applyFont="1" applyFill="1" applyBorder="1" applyAlignment="1" applyProtection="1">
      <alignment horizontal="left" vertical="top" wrapText="1"/>
    </xf>
    <xf numFmtId="49" fontId="7" fillId="26" borderId="42" xfId="36" applyNumberFormat="1" applyFont="1" applyFill="1" applyBorder="1" applyAlignment="1" applyProtection="1">
      <alignment horizontal="left" vertical="top" wrapText="1"/>
    </xf>
    <xf numFmtId="0" fontId="7" fillId="29" borderId="17" xfId="36" applyFont="1" applyFill="1" applyBorder="1" applyAlignment="1" applyProtection="1">
      <alignment vertical="top" wrapText="1"/>
    </xf>
    <xf numFmtId="0" fontId="7" fillId="29" borderId="40" xfId="36" applyFont="1" applyFill="1" applyBorder="1" applyAlignment="1" applyProtection="1">
      <alignment vertical="top" wrapText="1"/>
    </xf>
    <xf numFmtId="0" fontId="7" fillId="29" borderId="42" xfId="36" applyFont="1" applyFill="1" applyBorder="1" applyAlignment="1" applyProtection="1">
      <alignment vertical="top" wrapText="1"/>
    </xf>
    <xf numFmtId="0" fontId="0" fillId="27" borderId="17" xfId="36" applyFont="1" applyFill="1" applyBorder="1" applyAlignment="1" applyProtection="1">
      <alignment vertical="top" wrapText="1"/>
    </xf>
    <xf numFmtId="0" fontId="7" fillId="27" borderId="40" xfId="36" applyFont="1" applyFill="1" applyBorder="1" applyAlignment="1" applyProtection="1">
      <alignment vertical="top" wrapText="1"/>
    </xf>
    <xf numFmtId="0" fontId="7" fillId="27" borderId="42" xfId="36" applyFont="1" applyFill="1" applyBorder="1" applyAlignment="1" applyProtection="1">
      <alignment vertical="top" wrapText="1"/>
    </xf>
    <xf numFmtId="0" fontId="7" fillId="27" borderId="17" xfId="36" applyFont="1" applyFill="1" applyBorder="1" applyAlignment="1" applyProtection="1">
      <alignment vertical="top" wrapText="1"/>
    </xf>
    <xf numFmtId="49" fontId="34" fillId="27" borderId="13" xfId="36" applyNumberFormat="1" applyFont="1" applyFill="1" applyBorder="1" applyAlignment="1" applyProtection="1">
      <alignment horizontal="center" vertical="top" wrapText="1" shrinkToFit="1"/>
    </xf>
    <xf numFmtId="0" fontId="8" fillId="0" borderId="16" xfId="36" applyFont="1" applyFill="1" applyBorder="1" applyAlignment="1" applyProtection="1">
      <alignment horizontal="center" vertical="top" wrapText="1"/>
    </xf>
    <xf numFmtId="0" fontId="34" fillId="27" borderId="17" xfId="36" applyFont="1" applyFill="1" applyBorder="1" applyAlignment="1" applyProtection="1">
      <alignment horizontal="left" vertical="top" wrapText="1" shrinkToFit="1"/>
    </xf>
    <xf numFmtId="0" fontId="34" fillId="27" borderId="40" xfId="36" applyFont="1" applyFill="1" applyBorder="1" applyAlignment="1" applyProtection="1">
      <alignment horizontal="left" vertical="top" wrapText="1" shrinkToFit="1"/>
    </xf>
    <xf numFmtId="49" fontId="7" fillId="43" borderId="23" xfId="36" applyNumberFormat="1" applyFont="1" applyFill="1" applyBorder="1" applyAlignment="1" applyProtection="1">
      <alignment horizontal="left" vertical="top" wrapText="1" shrinkToFit="1"/>
    </xf>
    <xf numFmtId="49" fontId="7" fillId="43" borderId="16" xfId="36" applyNumberFormat="1" applyFont="1" applyFill="1" applyBorder="1" applyAlignment="1" applyProtection="1">
      <alignment horizontal="left" vertical="top" wrapText="1" shrinkToFit="1"/>
    </xf>
    <xf numFmtId="0" fontId="40" fillId="31" borderId="17" xfId="0" applyFont="1" applyFill="1" applyBorder="1" applyAlignment="1" applyProtection="1">
      <alignment horizontal="center" vertical="top" wrapText="1"/>
    </xf>
    <xf numFmtId="0" fontId="40" fillId="31" borderId="42" xfId="0" applyFont="1" applyFill="1" applyBorder="1" applyAlignment="1" applyProtection="1">
      <alignment horizontal="center" vertical="top" wrapText="1"/>
    </xf>
    <xf numFmtId="0" fontId="34" fillId="24" borderId="17" xfId="36" applyFont="1" applyFill="1" applyBorder="1" applyAlignment="1" applyProtection="1">
      <alignment horizontal="center" vertical="top" wrapText="1"/>
    </xf>
    <xf numFmtId="0" fontId="34" fillId="24" borderId="40" xfId="36" applyFont="1" applyFill="1" applyBorder="1" applyAlignment="1" applyProtection="1">
      <alignment horizontal="center" vertical="top" wrapText="1"/>
    </xf>
    <xf numFmtId="0" fontId="34" fillId="24" borderId="42" xfId="36" applyFont="1" applyFill="1" applyBorder="1" applyAlignment="1" applyProtection="1">
      <alignment horizontal="center" vertical="top" wrapText="1"/>
    </xf>
    <xf numFmtId="0" fontId="8" fillId="0" borderId="0" xfId="36" applyFont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4" borderId="17" xfId="36" applyNumberFormat="1" applyFont="1" applyFill="1" applyBorder="1" applyAlignment="1" applyProtection="1">
      <alignment horizontal="center" vertical="top" wrapText="1" shrinkToFit="1"/>
    </xf>
    <xf numFmtId="49" fontId="34" fillId="24" borderId="42" xfId="36" applyNumberFormat="1" applyFont="1" applyFill="1" applyBorder="1" applyAlignment="1" applyProtection="1">
      <alignment horizontal="center" vertical="top" wrapText="1" shrinkToFit="1"/>
    </xf>
    <xf numFmtId="0" fontId="34" fillId="24" borderId="22" xfId="36" applyFont="1" applyFill="1" applyBorder="1" applyAlignment="1" applyProtection="1">
      <alignment horizontal="center" vertical="top" wrapText="1"/>
    </xf>
    <xf numFmtId="0" fontId="34" fillId="24" borderId="14" xfId="36" applyFont="1" applyFill="1" applyBorder="1" applyAlignment="1" applyProtection="1">
      <alignment horizontal="center" vertical="top" wrapText="1"/>
    </xf>
    <xf numFmtId="0" fontId="34" fillId="24" borderId="15" xfId="36" applyFont="1" applyFill="1" applyBorder="1" applyAlignment="1" applyProtection="1">
      <alignment horizontal="center" vertical="top" wrapText="1"/>
    </xf>
    <xf numFmtId="0" fontId="34" fillId="24" borderId="23" xfId="36" applyFont="1" applyFill="1" applyBorder="1" applyAlignment="1" applyProtection="1">
      <alignment horizontal="center" vertical="top" wrapText="1"/>
    </xf>
    <xf numFmtId="0" fontId="34" fillId="24" borderId="16" xfId="36" applyFont="1" applyFill="1" applyBorder="1" applyAlignment="1" applyProtection="1">
      <alignment horizontal="center" vertical="top" wrapText="1"/>
    </xf>
    <xf numFmtId="0" fontId="34" fillId="24" borderId="10" xfId="36" applyFont="1" applyFill="1" applyBorder="1" applyAlignment="1" applyProtection="1">
      <alignment horizontal="center" vertical="top" wrapText="1"/>
    </xf>
    <xf numFmtId="0" fontId="5" fillId="27" borderId="23" xfId="36" applyNumberFormat="1" applyFont="1" applyFill="1" applyBorder="1" applyAlignment="1" applyProtection="1">
      <alignment horizontal="left" vertical="center"/>
    </xf>
    <xf numFmtId="0" fontId="5" fillId="27" borderId="16" xfId="36" applyNumberFormat="1" applyFont="1" applyFill="1" applyBorder="1" applyAlignment="1" applyProtection="1">
      <alignment horizontal="left" vertical="center"/>
    </xf>
    <xf numFmtId="0" fontId="7" fillId="32" borderId="17" xfId="36" applyNumberFormat="1" applyFont="1" applyFill="1" applyBorder="1" applyAlignment="1" applyProtection="1">
      <alignment horizontal="center" vertical="top" wrapText="1"/>
    </xf>
    <xf numFmtId="0" fontId="7" fillId="32" borderId="40" xfId="36" applyNumberFormat="1" applyFont="1" applyFill="1" applyBorder="1" applyAlignment="1" applyProtection="1">
      <alignment horizontal="center" vertical="top" wrapText="1"/>
    </xf>
    <xf numFmtId="0" fontId="7" fillId="32" borderId="42" xfId="36" applyNumberFormat="1" applyFont="1" applyFill="1" applyBorder="1" applyAlignment="1" applyProtection="1">
      <alignment horizontal="center" vertical="top" wrapText="1"/>
    </xf>
    <xf numFmtId="14" fontId="7" fillId="32" borderId="17" xfId="36" applyNumberFormat="1" applyFont="1" applyFill="1" applyBorder="1" applyAlignment="1" applyProtection="1">
      <alignment horizontal="center" vertical="top" wrapText="1"/>
    </xf>
    <xf numFmtId="14" fontId="7" fillId="32" borderId="40" xfId="36" applyNumberFormat="1" applyFont="1" applyFill="1" applyBorder="1" applyAlignment="1" applyProtection="1">
      <alignment horizontal="center" vertical="top" wrapText="1"/>
    </xf>
    <xf numFmtId="14" fontId="7" fillId="32" borderId="42" xfId="36" applyNumberFormat="1" applyFont="1" applyFill="1" applyBorder="1" applyAlignment="1" applyProtection="1">
      <alignment horizontal="center" vertical="top" wrapText="1"/>
    </xf>
    <xf numFmtId="0" fontId="34" fillId="0" borderId="17" xfId="36" applyFont="1" applyFill="1" applyBorder="1" applyAlignment="1" applyProtection="1">
      <alignment horizontal="center" vertical="top" wrapText="1" shrinkToFit="1"/>
    </xf>
    <xf numFmtId="0" fontId="34" fillId="0" borderId="40" xfId="36" applyFont="1" applyFill="1" applyBorder="1" applyAlignment="1" applyProtection="1">
      <alignment horizontal="center" vertical="top" wrapText="1" shrinkToFit="1"/>
    </xf>
    <xf numFmtId="0" fontId="34" fillId="0" borderId="42" xfId="36" applyFont="1" applyFill="1" applyBorder="1" applyAlignment="1" applyProtection="1">
      <alignment horizontal="center" vertical="top" wrapText="1" shrinkToFit="1"/>
    </xf>
    <xf numFmtId="49" fontId="34" fillId="27" borderId="22" xfId="36" applyNumberFormat="1" applyFont="1" applyFill="1" applyBorder="1" applyAlignment="1" applyProtection="1">
      <alignment horizontal="left" vertical="top" wrapText="1" shrinkToFit="1"/>
    </xf>
    <xf numFmtId="49" fontId="34" fillId="27" borderId="14" xfId="36" applyNumberFormat="1" applyFont="1" applyFill="1" applyBorder="1" applyAlignment="1" applyProtection="1">
      <alignment horizontal="left" vertical="top" wrapText="1" shrinkToFit="1"/>
    </xf>
    <xf numFmtId="0" fontId="0" fillId="27" borderId="17" xfId="36" applyFont="1" applyFill="1" applyBorder="1" applyAlignment="1" applyProtection="1">
      <alignment horizontal="left" vertical="top" wrapText="1" shrinkToFit="1"/>
    </xf>
    <xf numFmtId="0" fontId="34" fillId="27" borderId="42" xfId="36" applyFont="1" applyFill="1" applyBorder="1" applyAlignment="1" applyProtection="1">
      <alignment horizontal="left" vertical="top" wrapText="1" shrinkToFit="1"/>
    </xf>
    <xf numFmtId="0" fontId="8" fillId="24" borderId="13" xfId="36" applyFont="1" applyFill="1" applyBorder="1" applyAlignment="1" applyProtection="1">
      <alignment horizontal="center" vertical="top" wrapText="1"/>
    </xf>
    <xf numFmtId="0" fontId="7" fillId="43" borderId="17" xfId="36" applyFont="1" applyFill="1" applyBorder="1" applyAlignment="1" applyProtection="1">
      <alignment horizontal="center" vertical="center" wrapText="1" shrinkToFit="1"/>
      <protection locked="0"/>
    </xf>
    <xf numFmtId="0" fontId="7" fillId="43" borderId="40" xfId="36" applyFont="1" applyFill="1" applyBorder="1" applyAlignment="1" applyProtection="1">
      <alignment horizontal="center" vertical="center" wrapText="1" shrinkToFit="1"/>
      <protection locked="0"/>
    </xf>
    <xf numFmtId="0" fontId="7" fillId="43" borderId="42" xfId="36" applyFont="1" applyFill="1" applyBorder="1" applyAlignment="1" applyProtection="1">
      <alignment horizontal="center" vertical="center" wrapText="1" shrinkToFit="1"/>
      <protection locked="0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30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D8D8D8"/>
      <color rgb="FFCCFFFF"/>
      <color rgb="FF99CCFF"/>
      <color rgb="FF00FF00"/>
      <color rgb="FF92D050"/>
      <color rgb="FFB2A1C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1821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22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3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4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25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26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27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1828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829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30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1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1832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1833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1834" name="Rectangle 14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5" name="Rectangle 143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1836" name="Rectangle 144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1837" name="Rectangle 145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24</xdr:row>
      <xdr:rowOff>47625</xdr:rowOff>
    </xdr:from>
    <xdr:to>
      <xdr:col>42</xdr:col>
      <xdr:colOff>142875</xdr:colOff>
      <xdr:row>24</xdr:row>
      <xdr:rowOff>142875</xdr:rowOff>
    </xdr:to>
    <xdr:sp macro="" textlink="">
      <xdr:nvSpPr>
        <xdr:cNvPr id="21838" name="Rectangle 146"/>
        <xdr:cNvSpPr>
          <a:spLocks noChangeArrowheads="1"/>
        </xdr:cNvSpPr>
      </xdr:nvSpPr>
      <xdr:spPr bwMode="auto">
        <a:xfrm>
          <a:off x="6172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39" name="Rectangle 147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21840" name="Rectangle 148"/>
        <xdr:cNvSpPr>
          <a:spLocks noChangeArrowheads="1"/>
        </xdr:cNvSpPr>
      </xdr:nvSpPr>
      <xdr:spPr bwMode="auto">
        <a:xfrm>
          <a:off x="6457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41" name="Rectangle 149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42" name="Rectangle 150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3" name="Rectangle 15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4" name="Rectangle 152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45" name="Rectangle 15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46" name="Rectangle 154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47" name="Rectangle 155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1848" name="Rectangle 156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49" name="Rectangle 15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1850" name="Rectangle 15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51" name="Rectangle 159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1852" name="Rectangle 160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853" name="Rectangle 161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1854" name="Rectangle 162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1855" name="Rectangle 163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56" name="Rectangle 164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57" name="Rectangle 166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58" name="Rectangle 167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59" name="Rectangle 168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60" name="Rectangle 169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1" name="Rectangle 17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2" name="Rectangle 17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3" name="Rectangle 17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4" name="Rectangle 17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5" name="Rectangle 174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6" name="Rectangle 175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7" name="Rectangle 176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68" name="Rectangle 177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69" name="Rectangle 17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0" name="Rectangle 179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1" name="Rectangle 180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2" name="Rectangle 181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3" name="Rectangle 18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74" name="Rectangle 183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5" name="Rectangle 18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6" name="Rectangle 18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7" name="Rectangle 18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8" name="Rectangle 19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9" name="Rectangle 19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0" name="Rectangle 19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1" name="Rectangle 19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2" name="Rectangle 19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3" name="Rectangle 19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4" name="Rectangle 19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5" name="Rectangle 19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6" name="Rectangle 19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7" name="Rectangle 19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8" name="Rectangle 20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9" name="Rectangle 20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0" name="Rectangle 20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1" name="Rectangle 20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2" name="Rectangle 20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3" name="Rectangle 20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4" name="Rectangle 20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5" name="Rectangle 207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6" name="Rectangle 20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7" name="Rectangle 209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8" name="Rectangle 21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9" name="Rectangle 21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0" name="Rectangle 21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1" name="Rectangle 21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2" name="Rectangle 214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3" name="Rectangle 2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4" name="Rectangle 216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5" name="Rectangle 217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6" name="Rectangle 218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7" name="Rectangle 219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8" name="Rectangle 2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9" name="Rectangle 221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0" name="Rectangle 22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1" name="Rectangle 22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2" name="Rectangle 22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3" name="Rectangle 22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4" name="Rectangle 22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1915" name="Rectangle 227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1916" name="Rectangle 228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917" name="Rectangle 229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1918" name="Rectangle 230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9" name="Rectangle 231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20" name="Rectangle 23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21" name="Rectangle 23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2" name="Rectangle 2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3" name="Rectangle 2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4" name="Rectangle 23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5" name="Rectangle 2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6" name="Rectangle 2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7" name="Rectangle 2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28" name="Rectangle 24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29" name="Rectangle 24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30" name="Rectangle 24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931" name="Rectangle 24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932" name="Rectangle 244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933" name="Rectangle 245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934" name="Rectangle 246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935" name="Rectangle 24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936" name="Rectangle 24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7" name="Rectangle 24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8" name="Rectangle 25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9" name="Rectangle 25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0" name="Rectangle 25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1" name="Rectangle 25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2" name="Rectangle 254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3" name="Rectangle 255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4" name="Rectangle 256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5" name="Rectangle 257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6" name="Rectangle 258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7" name="Rectangle 25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8" name="Rectangle 26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9" name="Rectangle 26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0" name="Rectangle 26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1" name="Rectangle 263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2" name="Rectangle 26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3" name="Rectangle 26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4" name="Rectangle 26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5" name="Rectangle 26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6" name="Rectangle 26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57" name="Rectangle 269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58" name="Rectangle 27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59" name="Rectangle 271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0" name="Rectangle 272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1" name="Rectangle 273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2" name="Rectangle 274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3" name="Rectangle 275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4" name="Rectangle 276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5" name="Rectangle 277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6" name="Rectangle 278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7" name="Rectangle 27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8" name="Rectangle 28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9" name="Rectangle 28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70" name="Rectangle 28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1" name="Rectangle 28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2" name="Rectangle 28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3" name="Rectangle 28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4" name="Rectangle 28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5" name="Rectangle 28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6" name="Rectangle 28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7" name="Rectangle 28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78" name="Rectangle 29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79" name="Rectangle 291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0" name="Rectangle 292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1" name="Rectangle 293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2" name="Rectangle 294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3" name="Rectangle 295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4" name="Rectangle 296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5" name="Rectangle 297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6" name="Rectangle 298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7" name="Rectangle 299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8" name="Rectangle 300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9" name="Rectangle 301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0" name="Rectangle 30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1" name="Rectangle 30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2" name="Rectangle 30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3" name="Rectangle 30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4" name="Rectangle 30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5" name="Rectangle 30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6" name="Rectangle 30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7" name="Rectangle 30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8" name="Rectangle 31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9" name="Rectangle 31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0" name="Rectangle 31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1" name="Rectangle 31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2" name="Rectangle 31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3" name="Rectangle 31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4" name="Rectangle 31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5" name="Rectangle 31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6" name="Rectangle 31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7" name="Rectangle 3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8" name="Rectangle 3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9" name="Rectangle 3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0" name="Rectangle 32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1" name="Rectangle 32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2" name="Rectangle 324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3" name="Rectangle 32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4" name="Rectangle 32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15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1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17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18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19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20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21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022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23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24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25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26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2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28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29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30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31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32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033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34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35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6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37" name="Rectangle 121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8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39" name="Rectangle 121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0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24</xdr:row>
      <xdr:rowOff>47625</xdr:rowOff>
    </xdr:from>
    <xdr:to>
      <xdr:col>42</xdr:col>
      <xdr:colOff>142875</xdr:colOff>
      <xdr:row>24</xdr:row>
      <xdr:rowOff>142875</xdr:rowOff>
    </xdr:to>
    <xdr:sp macro="" textlink="">
      <xdr:nvSpPr>
        <xdr:cNvPr id="22041" name="Rectangle 121"/>
        <xdr:cNvSpPr>
          <a:spLocks noChangeArrowheads="1"/>
        </xdr:cNvSpPr>
      </xdr:nvSpPr>
      <xdr:spPr bwMode="auto">
        <a:xfrm>
          <a:off x="6172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42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43" name="Rectangle 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44" name="Rectangle 2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45" name="Rectangle 2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2046" name="Rectangle 2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7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8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9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22050" name="Rectangle 1"/>
        <xdr:cNvSpPr>
          <a:spLocks noChangeArrowheads="1"/>
        </xdr:cNvSpPr>
      </xdr:nvSpPr>
      <xdr:spPr bwMode="auto">
        <a:xfrm>
          <a:off x="502920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1" name="Rectangle 11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2" name="Rectangle 12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28575</xdr:rowOff>
    </xdr:from>
    <xdr:to>
      <xdr:col>34</xdr:col>
      <xdr:colOff>142875</xdr:colOff>
      <xdr:row>25</xdr:row>
      <xdr:rowOff>123825</xdr:rowOff>
    </xdr:to>
    <xdr:sp macro="" textlink="">
      <xdr:nvSpPr>
        <xdr:cNvPr id="22054" name="Rectangle 1"/>
        <xdr:cNvSpPr>
          <a:spLocks noChangeArrowheads="1"/>
        </xdr:cNvSpPr>
      </xdr:nvSpPr>
      <xdr:spPr bwMode="auto">
        <a:xfrm>
          <a:off x="502920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5" name="Rectangle 11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6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7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58" name="Rectangle 121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59" name="Rectangle 121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28575</xdr:rowOff>
    </xdr:from>
    <xdr:to>
      <xdr:col>33</xdr:col>
      <xdr:colOff>142875</xdr:colOff>
      <xdr:row>25</xdr:row>
      <xdr:rowOff>123825</xdr:rowOff>
    </xdr:to>
    <xdr:sp macro="" textlink="">
      <xdr:nvSpPr>
        <xdr:cNvPr id="22060" name="Rectangle 1"/>
        <xdr:cNvSpPr>
          <a:spLocks noChangeArrowheads="1"/>
        </xdr:cNvSpPr>
      </xdr:nvSpPr>
      <xdr:spPr bwMode="auto">
        <a:xfrm>
          <a:off x="4886325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061" name="Rectangle 119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062" name="Rectangle 1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063" name="Rectangle 1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64" name="Rectangle 2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28575</xdr:rowOff>
    </xdr:from>
    <xdr:to>
      <xdr:col>33</xdr:col>
      <xdr:colOff>142875</xdr:colOff>
      <xdr:row>24</xdr:row>
      <xdr:rowOff>123825</xdr:rowOff>
    </xdr:to>
    <xdr:sp macro="" textlink="">
      <xdr:nvSpPr>
        <xdr:cNvPr id="22065" name="Rectangle 1"/>
        <xdr:cNvSpPr>
          <a:spLocks noChangeArrowheads="1"/>
        </xdr:cNvSpPr>
      </xdr:nvSpPr>
      <xdr:spPr bwMode="auto">
        <a:xfrm>
          <a:off x="488632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066" name="Rectangle 119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067" name="Rectangle 12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068" name="Rectangle 12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69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0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1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72" name="Rectangle 1830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73" name="Rectangle 183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74" name="Rectangle 183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75" name="Rectangle 183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76" name="Rectangle 1834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77" name="Rectangle 1835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78" name="Rectangle 183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079" name="Rectangle 1837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0" name="Rectangle 1838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81" name="Rectangle 1839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82" name="Rectangle 1840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83" name="Rectangle 1841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4" name="Rectangle 1842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85" name="Rectangle 1843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86" name="Rectangle 1844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24</xdr:row>
      <xdr:rowOff>47625</xdr:rowOff>
    </xdr:from>
    <xdr:to>
      <xdr:col>42</xdr:col>
      <xdr:colOff>142875</xdr:colOff>
      <xdr:row>24</xdr:row>
      <xdr:rowOff>142875</xdr:rowOff>
    </xdr:to>
    <xdr:sp macro="" textlink="">
      <xdr:nvSpPr>
        <xdr:cNvPr id="22087" name="Rectangle 1845"/>
        <xdr:cNvSpPr>
          <a:spLocks noChangeArrowheads="1"/>
        </xdr:cNvSpPr>
      </xdr:nvSpPr>
      <xdr:spPr bwMode="auto">
        <a:xfrm>
          <a:off x="6172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2088" name="Rectangle 1846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22089" name="Rectangle 1847"/>
        <xdr:cNvSpPr>
          <a:spLocks noChangeArrowheads="1"/>
        </xdr:cNvSpPr>
      </xdr:nvSpPr>
      <xdr:spPr bwMode="auto">
        <a:xfrm>
          <a:off x="6457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90" name="Rectangle 184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91" name="Rectangle 1849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2" name="Rectangle 1850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3" name="Rectangle 185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94" name="Rectangle 185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95" name="Rectangle 185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96" name="Rectangle 1854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97" name="Rectangle 1855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98" name="Rectangle 1856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99" name="Rectangle 1857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100" name="Rectangle 185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2101" name="Rectangle 1859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102" name="Rectangle 1860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2103" name="Rectangle 1861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2104" name="Rectangle 1862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105" name="Rectangle 1863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6" name="Rectangle 1864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7" name="Rectangle 1865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8" name="Rectangle 1866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9" name="Rectangle 1867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0" name="Rectangle 186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1" name="Rectangle 1869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2" name="Rectangle 187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3" name="Rectangle 187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4" name="Rectangle 1872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5" name="Rectangle 1873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6" name="Rectangle 1874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17" name="Rectangle 1875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18" name="Rectangle 187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19" name="Rectangle 1877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20" name="Rectangle 187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21" name="Rectangle 1879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22" name="Rectangle 1880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2123" name="Rectangle 1881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4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6" name="Rectangle 188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7" name="Rectangle 188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8" name="Rectangle 188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9" name="Rectangle 188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30" name="Rectangle 189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1" name="Rectangle 11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2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3" name="Rectangle 189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4" name="Rectangle 189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5" name="Rectangle 189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6" name="Rectangle 189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7" name="Rectangle 1897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8" name="Rectangle 11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9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0" name="Rectangle 190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1" name="Rectangle 190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2" name="Rectangle 190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3" name="Rectangle 190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4" name="Rectangle 190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5" name="Rectangle 11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7" name="Rectangle 190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8" name="Rectangle 190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9" name="Rectangle 190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0" name="Rectangle 191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1" name="Rectangle 191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2" name="Rectangle 11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3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4" name="Rectangle 191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5" name="Rectangle 191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6" name="Rectangle 191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7" name="Rectangle 1917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8" name="Rectangle 1918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9" name="Rectangle 1919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0" name="Rectangle 19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1" name="Rectangle 1921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2" name="Rectangle 192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3" name="Rectangle 192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4" name="Rectangle 11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5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6" name="Rectangle 192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7" name="Rectangle 192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8" name="Rectangle 192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9" name="Rectangle 19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0" name="Rectangle 19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1" name="Rectangle 19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2" name="Rectangle 193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3" name="Rectangle 193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4" name="Rectangle 19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5" name="Rectangle 19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6" name="Rectangle 11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8" name="Rectangle 19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9" name="Rectangle 19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0" name="Rectangle 194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1" name="Rectangle 194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2" name="Rectangle 194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3" name="Rectangle 194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4" name="Rectangle 194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5" name="Rectangle 194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6" name="Rectangle 194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7" name="Rectangle 194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88" name="Rectangle 116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89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0" name="Rectangle 195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1" name="Rectangle 195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2" name="Rectangle 195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3" name="Rectangle 195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4" name="Rectangle 1954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5" name="Rectangle 195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6" name="Rectangle 1956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7" name="Rectangle 1957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8" name="Rectangle 195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9" name="Rectangle 1959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200" name="Rectangle 1960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2201" name="Rectangle 1961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202" name="Rectangle 1962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2203" name="Rectangle 1963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4" name="Rectangle 117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5" name="Rectangle 2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6" name="Rectangle 1974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7" name="Rectangle 1975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8" name="Rectangle 1976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9" name="Rectangle 1977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10" name="Rectangle 1978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11" name="Rectangle 1979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2" name="Rectangle 11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3" name="Rectangle 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4" name="Rectangle 198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5" name="Rectangle 1983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6" name="Rectangle 1984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7" name="Rectangle 1985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8" name="Rectangle 1986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9" name="Rectangle 198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0" name="Rectangle 117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1" name="Rectangle 2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2" name="Rectangle 1990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3" name="Rectangle 1991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4" name="Rectangle 1992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5" name="Rectangle 1993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6" name="Rectangle 1994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7" name="Rectangle 1995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28" name="Rectangle 117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29" name="Rectangle 2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0" name="Rectangle 1998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1" name="Rectangle 1999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2" name="Rectangle 2000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3" name="Rectangle 2001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4" name="Rectangle 2002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5" name="Rectangle 2003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6" name="Rectangle 11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7" name="Rectangle 2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8" name="Rectangle 2006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9" name="Rectangle 200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0" name="Rectangle 2008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1" name="Rectangle 2009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2" name="Rectangle 2010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3" name="Rectangle 2011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4" name="Rectangle 118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5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6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7" name="Rectangle 202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8" name="Rectangle 202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9" name="Rectangle 202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0" name="Rectangle 11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1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2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3" name="Rectangle 20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4" name="Rectangle 20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5" name="Rectangle 20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6" name="Rectangle 11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8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9" name="Rectangle 203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0" name="Rectangle 203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1" name="Rectangle 20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2" name="Rectangle 11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3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4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5" name="Rectangle 204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6" name="Rectangle 204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7" name="Rectangle 204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68" name="Rectangle 11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69" name="Rectangle 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0" name="Rectangle 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1" name="Rectangle 2047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2" name="Rectangle 204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3" name="Rectangle 2049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4" name="Rectangle 11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5" name="Rectangle 2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6" name="Rectangle 2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7" name="Rectangle 2053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8" name="Rectangle 2054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9" name="Rectangle 2055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0" name="Rectangle 117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1" name="Rectangle 2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2" name="Rectangle 2066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3" name="Rectangle 2067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4" name="Rectangle 2068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5" name="Rectangle 2069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6" name="Rectangle 2070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7" name="Rectangle 2071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88" name="Rectangle 117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89" name="Rectangle 2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0" name="Rectangle 2074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1" name="Rectangle 2075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2" name="Rectangle 2076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3" name="Rectangle 2077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4" name="Rectangle 2078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5" name="Rectangle 2079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6" name="Rectangle 117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7" name="Rectangle 2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8" name="Rectangle 2082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9" name="Rectangle 2083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0" name="Rectangle 2084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1" name="Rectangle 2085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2" name="Rectangle 2086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3" name="Rectangle 2087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4" name="Rectangle 117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5" name="Rectangle 2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6" name="Rectangle 2090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7" name="Rectangle 2091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8" name="Rectangle 2092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9" name="Rectangle 2093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10" name="Rectangle 2094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11" name="Rectangle 2095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2" name="Rectangle 117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3" name="Rectangle 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4" name="Rectangle 2098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5" name="Rectangle 2099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6" name="Rectangle 2100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7" name="Rectangle 2101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8" name="Rectangle 210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9" name="Rectangle 2103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0" name="Rectangle 121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1" name="Rectangle 2105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2" name="Rectangle 2106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3" name="Rectangle 2107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4" name="Rectangle 2108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5" name="Rectangle 2109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6" name="Rectangle 211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6" name="Rectangle 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7" name="Rectangle 2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8" name="Rectangle 2122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9" name="Rectangle 212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0" name="Rectangle 212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1" name="Rectangle 212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2" name="Rectangle 212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3" name="Rectangle 212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4" name="Rectangle 121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5" name="Rectangle 2129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6" name="Rectangle 213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7" name="Rectangle 2131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8" name="Rectangle 2132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9" name="Rectangle 2133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50" name="Rectangle 2134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51" name="Rectangle 2135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2" name="Rectangle 115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3" name="Rectangle 2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4" name="Rectangle 2138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5" name="Rectangle 2139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6" name="Rectangle 2140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7" name="Rectangle 2141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8" name="Rectangle 2142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28575</xdr:rowOff>
    </xdr:from>
    <xdr:to>
      <xdr:col>32</xdr:col>
      <xdr:colOff>142875</xdr:colOff>
      <xdr:row>25</xdr:row>
      <xdr:rowOff>123825</xdr:rowOff>
    </xdr:to>
    <xdr:sp macro="" textlink="">
      <xdr:nvSpPr>
        <xdr:cNvPr id="22359" name="Rectangle 1"/>
        <xdr:cNvSpPr>
          <a:spLocks noChangeArrowheads="1"/>
        </xdr:cNvSpPr>
      </xdr:nvSpPr>
      <xdr:spPr bwMode="auto">
        <a:xfrm>
          <a:off x="474345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0" name="Rectangle 11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1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2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28575</xdr:rowOff>
    </xdr:from>
    <xdr:to>
      <xdr:col>32</xdr:col>
      <xdr:colOff>142875</xdr:colOff>
      <xdr:row>24</xdr:row>
      <xdr:rowOff>123825</xdr:rowOff>
    </xdr:to>
    <xdr:sp macro="" textlink="">
      <xdr:nvSpPr>
        <xdr:cNvPr id="22363" name="Rectangle 1"/>
        <xdr:cNvSpPr>
          <a:spLocks noChangeArrowheads="1"/>
        </xdr:cNvSpPr>
      </xdr:nvSpPr>
      <xdr:spPr bwMode="auto">
        <a:xfrm>
          <a:off x="474345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4" name="Rectangle 1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5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6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7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9" name="Rectangle 215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0" name="Rectangle 215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1" name="Rectangle 215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2" name="Rectangle 215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3" name="Rectangle 215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4" name="Rectangle 11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6" name="Rectangle 216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7" name="Rectangle 216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8" name="Rectangle 216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9" name="Rectangle 216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0" name="Rectangle 216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1" name="Rectangle 216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2" name="Rectangle 216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3" name="Rectangle 216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4" name="Rectangle 216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5" name="Rectangle 216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6" name="Rectangle 11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7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9" name="Rectangle 217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0" name="Rectangle 217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1" name="Rectangle 217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2" name="Rectangle 1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3" name="Rectangle 217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4" name="Rectangle 217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5" name="Rectangle 217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6" name="Rectangle 218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7" name="Rectangle 218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8" name="Rectangle 218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400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401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402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403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404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405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406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407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08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409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410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2" name="Rectangle 25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3" name="Rectangle 26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4" name="Rectangle 26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5" name="Rectangle 26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6" name="Rectangle 26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7" name="Rectangle 27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8" name="Rectangle 27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9" name="Rectangle 27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0" name="Rectangle 27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1" name="Rectangle 28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2" name="Rectangle 28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3" name="Rectangle 28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604" name="Rectangle 1"/>
        <xdr:cNvSpPr>
          <a:spLocks noChangeArrowheads="1"/>
        </xdr:cNvSpPr>
      </xdr:nvSpPr>
      <xdr:spPr bwMode="auto">
        <a:xfrm>
          <a:off x="5173807" y="49123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5" name="Rectangle 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6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9" name="Rectangle 211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0" name="Rectangle 2114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1" name="Rectangle 2115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2" name="Rectangle 211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3" name="Rectangle 211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4" name="Rectangle 211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5" name="Rectangle 2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16" name="Rectangle 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17" name="Rectangle 115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18" name="Rectangle 116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19" name="Rectangle 117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620" name="Rectangle 118"/>
        <xdr:cNvSpPr>
          <a:spLocks noChangeArrowheads="1"/>
        </xdr:cNvSpPr>
      </xdr:nvSpPr>
      <xdr:spPr bwMode="auto">
        <a:xfrm>
          <a:off x="57435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21" name="Rectangle 120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22" name="Rectangle 121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623" name="Rectangle 122"/>
        <xdr:cNvSpPr>
          <a:spLocks noChangeArrowheads="1"/>
        </xdr:cNvSpPr>
      </xdr:nvSpPr>
      <xdr:spPr bwMode="auto">
        <a:xfrm>
          <a:off x="560070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624" name="Rectangle 123"/>
        <xdr:cNvSpPr>
          <a:spLocks noChangeArrowheads="1"/>
        </xdr:cNvSpPr>
      </xdr:nvSpPr>
      <xdr:spPr bwMode="auto">
        <a:xfrm>
          <a:off x="574357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25" name="Rectangle 140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626" name="Rectangle 142"/>
        <xdr:cNvSpPr>
          <a:spLocks noChangeArrowheads="1"/>
        </xdr:cNvSpPr>
      </xdr:nvSpPr>
      <xdr:spPr bwMode="auto">
        <a:xfrm>
          <a:off x="560070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27" name="Rectangle 143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28" name="Rectangle 144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29" name="Rectangle 145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30" name="Rectangle 147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31" name="Rectangle 148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32" name="Rectangle 149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33" name="Rectangle 150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634" name="Rectangle 151"/>
        <xdr:cNvSpPr>
          <a:spLocks noChangeArrowheads="1"/>
        </xdr:cNvSpPr>
      </xdr:nvSpPr>
      <xdr:spPr bwMode="auto">
        <a:xfrm>
          <a:off x="560070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35" name="Rectangle 152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36" name="Rectangle 153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37" name="Rectangle 154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38" name="Rectangle 155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39" name="Rectangle 156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40" name="Rectangle 157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1" name="Rectangle 158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2" name="Rectangle 159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3" name="Rectangle 160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4" name="Rectangle 161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45" name="Rectangle 162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46" name="Rectangle 163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47" name="Rectangle 165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48" name="Rectangle 166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49" name="Rectangle 167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50" name="Rectangle 168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51" name="Rectangle 169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2" name="Rectangle 172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3" name="Rectangle 173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4" name="Rectangle 174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5" name="Rectangle 175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6" name="Rectangle 176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7" name="Rectangle 177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8" name="Rectangle 17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9" name="Rectangle 179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0" name="Rectangle 18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1" name="Rectangle 18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2" name="Rectangle 18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3" name="Rectangle 18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4" name="Rectangle 18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5" name="Rectangle 18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6" name="Rectangle 18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7" name="Rectangle 18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8" name="Rectangle 188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9" name="Rectangle 189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0" name="Rectangle 19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1" name="Rectangle 19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2" name="Rectangle 19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3" name="Rectangle 19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4" name="Rectangle 194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5" name="Rectangle 195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6" name="Rectangle 196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7" name="Rectangle 197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8" name="Rectangle 19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1" name="Rectangle 201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2" name="Rectangle 20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3" name="Rectangle 203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4" name="Rectangle 20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5" name="Rectangle 20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6" name="Rectangle 20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7" name="Rectangle 20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88" name="Rectangle 212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89" name="Rectangle 213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0" name="Rectangle 214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1" name="Rectangle 215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2" name="Rectangle 216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3" name="Rectangle 217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4" name="Rectangle 218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5" name="Rectangle 219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6" name="Rectangle 220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7" name="Rectangle 221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8" name="Rectangle 222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699" name="Rectangle 223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0" name="Rectangle 224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1" name="Rectangle 225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2" name="Rectangle 226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3" name="Rectangle 227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4" name="Rectangle 228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5" name="Rectangle 229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6" name="Rectangle 230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7" name="Rectangle 231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8" name="Rectangle 232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9" name="Rectangle 233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0" name="Rectangle 234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1" name="Rectangle 235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2" name="Rectangle 236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3" name="Rectangle 237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4" name="Rectangle 238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5" name="Rectangle 239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6" name="Rectangle 240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7" name="Rectangle 241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8" name="Rectangle 242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9" name="Rectangle 243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1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2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3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4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5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6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9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0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1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2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3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4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5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6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8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9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40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2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3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4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5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6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7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8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9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1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2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3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4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5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6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7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9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0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1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2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3" name="Rectangle 16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4" name="Rectangle 117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5" name="Rectangle 2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6" name="Rectangle 1974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7" name="Rectangle 1975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8" name="Rectangle 1976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9" name="Rectangle 1977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70" name="Rectangle 1978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71" name="Rectangle 1979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2" name="Rectangle 117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3" name="Rectangle 2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4" name="Rectangle 1982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5" name="Rectangle 1983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6" name="Rectangle 1984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7" name="Rectangle 1985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8" name="Rectangle 1986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9" name="Rectangle 1987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0" name="Rectangle 117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1" name="Rectangle 2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2" name="Rectangle 1990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3" name="Rectangle 1991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4" name="Rectangle 1992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5" name="Rectangle 1993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6" name="Rectangle 1994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7" name="Rectangle 1995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88" name="Rectangle 117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89" name="Rectangle 2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0" name="Rectangle 1998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1" name="Rectangle 1999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2" name="Rectangle 2000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3" name="Rectangle 2001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4" name="Rectangle 2002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5" name="Rectangle 2003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6" name="Rectangle 117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7" name="Rectangle 2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8" name="Rectangle 2006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9" name="Rectangle 2007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0" name="Rectangle 2008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1" name="Rectangle 2009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2" name="Rectangle 2010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3" name="Rectangle 2011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18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19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0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1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2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3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4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5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6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7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8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9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0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1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2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3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4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5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6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7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8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9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40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41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2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3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4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5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6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7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8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9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0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1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2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3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4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5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6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7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8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9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0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1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2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3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4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5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6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7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8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9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0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1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2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3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4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5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6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7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8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9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0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1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2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3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4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5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6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7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8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9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0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1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2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3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4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5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6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7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8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9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0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1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2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3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4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5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6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7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8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9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10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11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2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3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4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5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6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7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8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9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0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1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2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3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4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5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6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7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8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9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0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1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2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3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4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5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6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7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8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9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0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1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2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3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4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5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6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7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8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9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0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1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2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3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4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5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6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7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8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9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0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1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2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3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4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5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6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7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8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9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0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1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2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3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4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5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6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7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8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9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0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1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2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3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4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5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6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7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8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9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0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1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2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3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4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5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6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7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8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9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0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1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2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3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4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5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6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7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8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9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0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1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2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3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4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5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6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7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8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9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0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1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2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3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4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5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6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7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8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9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0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1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2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3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4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5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6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7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8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9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0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1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2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3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4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5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6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7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8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9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0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1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2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3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4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5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6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7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8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9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0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1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2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3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4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5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6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7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8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9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0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1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2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3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4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5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6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7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8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9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0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1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2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3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4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5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6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7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8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9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0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1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2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3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4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5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6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7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198" name="Rectangle 115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199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0" name="Rectangle 213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1" name="Rectangle 213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2" name="Rectangle 214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3" name="Rectangle 214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4" name="Rectangle 214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5" name="Rectangle 117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6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7" name="Rectangle 199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8" name="Rectangle 199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9" name="Rectangle 200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10" name="Rectangle 200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11" name="Rectangle 200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12" name="Rectangle 2003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3" name="Rectangle 115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4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5" name="Rectangle 213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6" name="Rectangle 213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7" name="Rectangle 214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8" name="Rectangle 214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9" name="Rectangle 214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0" name="Rectangle 117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1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2" name="Rectangle 199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3" name="Rectangle 199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4" name="Rectangle 200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5" name="Rectangle 200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6" name="Rectangle 200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7" name="Rectangle 2003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28" name="Rectangle 115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29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0" name="Rectangle 213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1" name="Rectangle 213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2" name="Rectangle 214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3" name="Rectangle 214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4" name="Rectangle 214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5" name="Rectangle 117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6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7" name="Rectangle 199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8" name="Rectangle 199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9" name="Rectangle 200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40" name="Rectangle 200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41" name="Rectangle 200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42" name="Rectangle 2003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3" name="Rectangle 117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4" name="Rectangle 2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5" name="Rectangle 2006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6" name="Rectangle 2007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7" name="Rectangle 2008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8" name="Rectangle 2009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9" name="Rectangle 2010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50" name="Rectangle 2011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1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2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3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4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5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6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7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8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59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0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1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2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3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4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5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6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67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68" name="Rectangle 19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69" name="Rectangle 19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0" name="Rectangle 19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1" name="Rectangle 20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2" name="Rectangle 20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3" name="Rectangle 20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4" name="Rectangle 20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5" name="Rectangle 20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6" name="Rectangle 20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7" name="Rectangle 20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8" name="Rectangle 23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9" name="Rectangle 23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0" name="Rectangle 23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1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2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3" name="Rectangle 183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4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5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6" name="Rectangle 190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7" name="Rectangle 190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8" name="Rectangle 190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9" name="Rectangle 191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0" name="Rectangle 191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1" name="Rectangle 1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2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3" name="Rectangle 193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4" name="Rectangle 193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5" name="Rectangle 194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6" name="Rectangle 194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7" name="Rectangle 194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8" name="Rectangle 194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9" name="Rectangle 194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0" name="Rectangle 194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1" name="Rectangle 194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2" name="Rectangle 194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3" name="Rectangle 11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4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5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6" name="Rectangle 203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7" name="Rectangle 203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8" name="Rectangle 203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9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0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1" name="Rectangle 18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2" name="Rectangle 18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3" name="Rectangle 18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4" name="Rectangle 18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5" name="Rectangle 18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6" name="Rectangle 18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7" name="Rectangle 20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8" name="Rectangle 20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9" name="Rectangle 20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0" name="Rectangle 20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1" name="Rectangle 20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2" name="Rectangle 20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3" name="Rectangle 20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4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5" name="Rectangle 17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6" name="Rectangle 17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7" name="Rectangle 17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8" name="Rectangle 17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9" name="Rectangle 20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0" name="Rectangle 20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1" name="Rectangle 20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2" name="Rectangle 21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3" name="Rectangle 21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4" name="Rectangle 21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5" name="Rectangle 21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6" name="Rectangle 21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7" name="Rectangle 2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8" name="Rectangle 2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9" name="Rectangle 24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0" name="Rectangle 24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1" name="Rectangle 24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2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3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4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5" name="Rectangle 183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6" name="Rectangle 186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7" name="Rectangle 186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8" name="Rectangle 187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9" name="Rectangle 187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0" name="Rectangle 1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1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2" name="Rectangle 195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3" name="Rectangle 195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4" name="Rectangle 195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5" name="Rectangle 195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6" name="Rectangle 195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7" name="Rectangle 195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8" name="Rectangle 195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9" name="Rectangle 195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0" name="Rectangle 195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1" name="Rectangle 195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2" name="Rectangle 11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3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4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5" name="Rectangle 204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6" name="Rectangle 204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7" name="Rectangle 204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8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9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0" name="Rectangle 14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1" name="Rectangle 15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2" name="Rectangle 15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3" name="Rectangle 16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4" name="Rectangle 16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5" name="Rectangle 21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6" name="Rectangle 21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7" name="Rectangle 21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8" name="Rectangle 2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9" name="Rectangle 2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0" name="Rectangle 21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1" name="Rectangle 21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2" name="Rectangle 21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3" name="Rectangle 22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4" name="Rectangle 22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5" name="Rectangle 22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6" name="Rectangle 259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7" name="Rectangle 260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8" name="Rectangle 261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9" name="Rectangle 262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0" name="Rectangle 263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1" name="Rectangle 276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2" name="Rectangle 277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3" name="Rectangle 278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4" name="Rectangle 279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5" name="Rectangle 280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6" name="Rectangle 281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7" name="Rectangle 282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28575</xdr:rowOff>
    </xdr:from>
    <xdr:to>
      <xdr:col>33</xdr:col>
      <xdr:colOff>142875</xdr:colOff>
      <xdr:row>24</xdr:row>
      <xdr:rowOff>123825</xdr:rowOff>
    </xdr:to>
    <xdr:sp macro="" textlink="">
      <xdr:nvSpPr>
        <xdr:cNvPr id="1398" name="Rectangle 1"/>
        <xdr:cNvSpPr>
          <a:spLocks noChangeArrowheads="1"/>
        </xdr:cNvSpPr>
      </xdr:nvSpPr>
      <xdr:spPr bwMode="auto">
        <a:xfrm>
          <a:off x="5177518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9" name="Rectangle 119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400" name="Rectangle 120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01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2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3" name="Rectangle 26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4" name="Rectangle 26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5" name="Rectangle 26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6" name="Rectangle 26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7" name="Rectangle 26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8" name="Rectangle 28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9" name="Rectangle 28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0" name="Rectangle 28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1" name="Rectangle 28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2" name="Rectangle 28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3" name="Rectangle 28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4" name="Rectangle 28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15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6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17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8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9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0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21" name="Rectangle 1830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2" name="Rectangle 183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3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4" name="Rectangle 2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5" name="Rectangle 212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6" name="Rectangle 212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7" name="Rectangle 212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8" name="Rectangle 212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9" name="Rectangle 212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0" name="Rectangle 212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31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2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3" name="Rectangle 25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4" name="Rectangle 26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5" name="Rectangle 26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6" name="Rectangle 26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7" name="Rectangle 26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8" name="Rectangle 27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9" name="Rectangle 27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0" name="Rectangle 27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1" name="Rectangle 27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2" name="Rectangle 28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3" name="Rectangle 28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4" name="Rectangle 28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45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6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7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8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9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0" name="Rectangle 211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1" name="Rectangle 211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2" name="Rectangle 211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3" name="Rectangle 211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4" name="Rectangle 211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5" name="Rectangle 211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6" name="Rectangle 2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7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8" name="Rectangle 14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9" name="Rectangle 15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0" name="Rectangle 15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1" name="Rectangle 17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2" name="Rectangle 17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3" name="Rectangle 17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4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5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6" name="Rectangle 183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7" name="Rectangle 184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8" name="Rectangle 185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9" name="Rectangle 185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0" name="Rectangle 187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1" name="Rectangle 187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2" name="Rectangle 187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3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4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5" name="Rectangle 14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6" name="Rectangle 14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7" name="Rectangle 16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8" name="Rectangle 254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9" name="Rectangle 255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0" name="Rectangle 256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1" name="Rectangle 257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2" name="Rectangle 258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3" name="Rectangle 26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4" name="Rectangle 27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5" name="Rectangle 27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6" name="Rectangle 272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7" name="Rectangle 273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8" name="Rectangle 274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9" name="Rectangle 275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90" name="Rectangle 1"/>
        <xdr:cNvSpPr>
          <a:spLocks noChangeArrowheads="1"/>
        </xdr:cNvSpPr>
      </xdr:nvSpPr>
      <xdr:spPr bwMode="auto">
        <a:xfrm>
          <a:off x="5032942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1" name="Rectangle 11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2" name="Rectangle 12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3" name="Rectangle 12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4" name="Rectangle 12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5" name="Rectangle 2105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6" name="Rectangle 2106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7" name="Rectangle 2107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8" name="Rectangle 2108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9" name="Rectangle 210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0" name="Rectangle 211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1" name="Rectangle 25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2" name="Rectangle 26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3" name="Rectangle 26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4" name="Rectangle 262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5" name="Rectangle 263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6" name="Rectangle 276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7" name="Rectangle 277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8" name="Rectangle 278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9" name="Rectangle 27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0" name="Rectangle 28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1" name="Rectangle 28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2" name="Rectangle 282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513" name="Rectangle 1"/>
        <xdr:cNvSpPr>
          <a:spLocks noChangeArrowheads="1"/>
        </xdr:cNvSpPr>
      </xdr:nvSpPr>
      <xdr:spPr bwMode="auto">
        <a:xfrm>
          <a:off x="5032942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4" name="Rectangle 11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5" name="Rectangle 12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6" name="Rectangle 24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7" name="Rectangle 25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8" name="Rectangle 25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9" name="Rectangle 252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0" name="Rectangle 253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1" name="Rectangle 315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2" name="Rectangle 316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3" name="Rectangle 317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4" name="Rectangle 318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5" name="Rectangle 31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6" name="Rectangle 32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7" name="Rectangle 32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8" name="Rectangle 322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9" name="Rectangle 323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0" name="Rectangle 324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1" name="Rectangle 325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2" name="Rectangle 326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28575</xdr:rowOff>
    </xdr:from>
    <xdr:to>
      <xdr:col>33</xdr:col>
      <xdr:colOff>142875</xdr:colOff>
      <xdr:row>24</xdr:row>
      <xdr:rowOff>123825</xdr:rowOff>
    </xdr:to>
    <xdr:sp macro="" textlink="">
      <xdr:nvSpPr>
        <xdr:cNvPr id="1533" name="Rectangle 1"/>
        <xdr:cNvSpPr>
          <a:spLocks noChangeArrowheads="1"/>
        </xdr:cNvSpPr>
      </xdr:nvSpPr>
      <xdr:spPr bwMode="auto">
        <a:xfrm>
          <a:off x="4888366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4" name="Rectangle 11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5" name="Rectangle 12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6" name="Rectangle 12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7" name="Rectangle 12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8" name="Rectangle 2177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9" name="Rectangle 2178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0" name="Rectangle 217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1" name="Rectangle 218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2" name="Rectangle 218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3" name="Rectangle 2182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85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server\&#1086;&#1073;&#1097;&#1080;&#1077;\Users\vladimir\Documents\2016-2017%20&#1091;&#1095;&#1077;&#1073;&#1085;&#1099;&#1081;%20&#1075;&#1086;&#1076;\&#1059;&#1095;&#1077;&#1073;&#1085;&#1099;&#1077;%20&#1087;&#1083;&#1072;&#1085;&#1099;\&#1047;_&#1054;\&#1059;&#1055;-26.02.05-51%20(&#1057;&#105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>
        <row r="29">
          <cell r="BD29">
            <v>69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showZeros="0" tabSelected="1" workbookViewId="0">
      <selection activeCell="B27" sqref="B27"/>
    </sheetView>
  </sheetViews>
  <sheetFormatPr defaultColWidth="2.83203125" defaultRowHeight="12.75" x14ac:dyDescent="0.2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55" width="2.5" style="6" customWidth="1"/>
    <col min="56" max="56" width="4.1640625" style="6" bestFit="1" customWidth="1"/>
    <col min="57" max="60" width="3.33203125" style="6" customWidth="1"/>
    <col min="61" max="61" width="4" style="6" customWidth="1"/>
    <col min="62" max="62" width="6" style="6" customWidth="1"/>
    <col min="63" max="63" width="2.33203125" style="6" hidden="1" customWidth="1"/>
    <col min="64" max="64" width="4.83203125" style="6" customWidth="1"/>
    <col min="65" max="65" width="3.33203125" style="6" customWidth="1"/>
    <col min="66" max="66" width="5.6640625" style="6" bestFit="1" customWidth="1"/>
    <col min="67" max="16384" width="2.83203125" style="6"/>
  </cols>
  <sheetData>
    <row r="1" spans="1:66" ht="15.75" customHeight="1" x14ac:dyDescent="0.2">
      <c r="A1" s="127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24" t="s">
        <v>33</v>
      </c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</row>
    <row r="2" spans="1:66" ht="15.75" customHeight="1" x14ac:dyDescent="0.2">
      <c r="A2" s="616" t="s">
        <v>340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25" t="s">
        <v>506</v>
      </c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5"/>
      <c r="AO2" s="625"/>
      <c r="AP2" s="625"/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619" t="s">
        <v>46</v>
      </c>
      <c r="BD2" s="619"/>
      <c r="BE2" s="619"/>
      <c r="BF2" s="619"/>
      <c r="BG2" s="619"/>
      <c r="BH2" s="619"/>
      <c r="BI2" s="619"/>
      <c r="BJ2" s="619"/>
      <c r="BK2" s="619"/>
      <c r="BL2" s="619"/>
      <c r="BM2" s="619"/>
      <c r="BN2" s="619"/>
    </row>
    <row r="3" spans="1:66" ht="21.75" customHeight="1" x14ac:dyDescent="0.2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5" t="s">
        <v>314</v>
      </c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/>
      <c r="AO3" s="625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21" t="s">
        <v>308</v>
      </c>
      <c r="BD3" s="621"/>
      <c r="BE3" s="621"/>
      <c r="BF3" s="621"/>
      <c r="BG3" s="621"/>
      <c r="BH3" s="621"/>
      <c r="BI3" s="621"/>
      <c r="BJ3" s="621"/>
      <c r="BK3" s="621"/>
      <c r="BL3" s="621"/>
      <c r="BM3" s="621"/>
      <c r="BN3" s="621"/>
    </row>
    <row r="4" spans="1:66" ht="15.75" customHeight="1" x14ac:dyDescent="0.2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623" t="s">
        <v>303</v>
      </c>
      <c r="BD4" s="623"/>
      <c r="BE4" s="623"/>
      <c r="BF4" s="623"/>
      <c r="BG4" s="623"/>
      <c r="BH4" s="623"/>
      <c r="BI4" s="623"/>
      <c r="BJ4" s="623"/>
      <c r="BK4" s="623"/>
      <c r="BL4" s="623"/>
      <c r="BM4" s="623"/>
      <c r="BN4" s="623"/>
    </row>
    <row r="5" spans="1:66" ht="15.75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6"/>
      <c r="P5" s="126"/>
      <c r="Q5" s="126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03"/>
      <c r="BD5" s="128"/>
      <c r="BE5" s="128"/>
      <c r="BF5" s="104"/>
      <c r="BG5" s="105"/>
      <c r="BH5" s="105"/>
      <c r="BI5" s="105"/>
      <c r="BJ5" s="105"/>
      <c r="BK5" s="105"/>
      <c r="BL5" s="105"/>
      <c r="BM5" s="105"/>
      <c r="BN5" s="128"/>
    </row>
    <row r="6" spans="1:66" ht="15.75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6"/>
      <c r="P6" s="126"/>
      <c r="Q6" s="126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</row>
    <row r="7" spans="1:66" ht="25.5" customHeight="1" x14ac:dyDescent="0.2">
      <c r="A7" s="618" t="s">
        <v>342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/>
      <c r="AU7" s="618"/>
      <c r="AV7" s="618"/>
      <c r="AW7" s="618"/>
      <c r="AX7" s="618"/>
      <c r="AY7" s="618"/>
      <c r="AZ7" s="618"/>
      <c r="BA7" s="618"/>
      <c r="BB7" s="618"/>
      <c r="BC7" s="618"/>
      <c r="BD7" s="618"/>
      <c r="BE7" s="618"/>
      <c r="BF7" s="618"/>
      <c r="BG7" s="618"/>
      <c r="BH7" s="618"/>
      <c r="BI7" s="618"/>
      <c r="BJ7" s="618"/>
      <c r="BK7" s="618"/>
      <c r="BL7" s="618"/>
      <c r="BM7" s="618"/>
      <c r="BN7" s="618"/>
    </row>
    <row r="8" spans="1:66" s="3" customFormat="1" ht="15.75" customHeight="1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613" t="s">
        <v>343</v>
      </c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3"/>
      <c r="AV8" s="613"/>
      <c r="AW8" s="613"/>
      <c r="AX8" s="613"/>
      <c r="AY8" s="613"/>
      <c r="AZ8" s="613"/>
      <c r="BA8" s="613"/>
      <c r="BB8" s="613"/>
      <c r="BC8" s="125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</row>
    <row r="9" spans="1:66" s="3" customFormat="1" ht="15.75" customHeight="1" x14ac:dyDescent="0.2">
      <c r="A9" s="597" t="s">
        <v>151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612" t="s">
        <v>391</v>
      </c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3" t="s">
        <v>50</v>
      </c>
      <c r="BD9" s="613"/>
      <c r="BE9" s="613"/>
      <c r="BF9" s="613"/>
      <c r="BG9" s="613"/>
      <c r="BH9" s="613"/>
      <c r="BI9" s="613"/>
      <c r="BJ9" s="613"/>
      <c r="BK9" s="613"/>
      <c r="BL9" s="613"/>
      <c r="BM9" s="613"/>
      <c r="BN9" s="613"/>
    </row>
    <row r="10" spans="1:66" s="3" customFormat="1" ht="15.75" customHeight="1" x14ac:dyDescent="0.2">
      <c r="A10" s="597" t="s">
        <v>148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615" t="s">
        <v>406</v>
      </c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613"/>
      <c r="BD10" s="613"/>
      <c r="BE10" s="613"/>
      <c r="BF10" s="613"/>
      <c r="BG10" s="613"/>
      <c r="BH10" s="613"/>
      <c r="BI10" s="613"/>
      <c r="BJ10" s="613"/>
      <c r="BK10" s="613"/>
      <c r="BL10" s="613"/>
      <c r="BM10" s="613"/>
      <c r="BN10" s="613"/>
    </row>
    <row r="11" spans="1:66" s="3" customFormat="1" ht="15.75" customHeight="1" x14ac:dyDescent="0.2">
      <c r="A11" s="597" t="s">
        <v>190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3"/>
      <c r="BN11" s="613"/>
    </row>
    <row r="12" spans="1:66" s="3" customFormat="1" ht="15.75" customHeight="1" x14ac:dyDescent="0.2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613"/>
      <c r="BD12" s="613"/>
      <c r="BE12" s="613"/>
      <c r="BF12" s="613"/>
      <c r="BG12" s="613"/>
      <c r="BH12" s="613"/>
      <c r="BI12" s="613"/>
      <c r="BJ12" s="613"/>
      <c r="BK12" s="613"/>
      <c r="BL12" s="613"/>
      <c r="BM12" s="613"/>
      <c r="BN12" s="613"/>
    </row>
    <row r="13" spans="1:66" s="3" customFormat="1" ht="15.75" customHeight="1" x14ac:dyDescent="0.2">
      <c r="A13" s="597" t="s">
        <v>47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5" t="s">
        <v>149</v>
      </c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614" t="s">
        <v>392</v>
      </c>
      <c r="BD13" s="614"/>
      <c r="BE13" s="614"/>
      <c r="BF13" s="614"/>
      <c r="BG13" s="614"/>
      <c r="BH13" s="614"/>
      <c r="BI13" s="614"/>
      <c r="BJ13" s="614"/>
      <c r="BK13" s="614"/>
      <c r="BL13" s="614"/>
      <c r="BM13" s="614"/>
      <c r="BN13" s="614"/>
    </row>
    <row r="14" spans="1:66" s="3" customFormat="1" ht="15.75" customHeight="1" x14ac:dyDescent="0.2">
      <c r="A14" s="597" t="s">
        <v>152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5" t="s">
        <v>154</v>
      </c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638" t="s">
        <v>520</v>
      </c>
      <c r="BD14" s="638"/>
      <c r="BE14" s="638"/>
      <c r="BF14" s="638"/>
      <c r="BG14" s="638"/>
      <c r="BH14" s="638"/>
      <c r="BI14" s="638"/>
      <c r="BJ14" s="638"/>
      <c r="BK14" s="638"/>
      <c r="BL14" s="638"/>
      <c r="BM14" s="638"/>
      <c r="BN14" s="638"/>
    </row>
    <row r="15" spans="1:66" s="3" customFormat="1" ht="15.75" customHeight="1" x14ac:dyDescent="0.2">
      <c r="A15" s="597" t="s">
        <v>48</v>
      </c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5" t="s">
        <v>101</v>
      </c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595"/>
      <c r="AW15" s="595"/>
      <c r="AX15" s="595"/>
      <c r="AY15" s="595"/>
      <c r="AZ15" s="595"/>
      <c r="BA15" s="595"/>
      <c r="BB15" s="595"/>
      <c r="BC15" s="638"/>
      <c r="BD15" s="638"/>
      <c r="BE15" s="638"/>
      <c r="BF15" s="638"/>
      <c r="BG15" s="638"/>
      <c r="BH15" s="638"/>
      <c r="BI15" s="638"/>
      <c r="BJ15" s="638"/>
      <c r="BK15" s="638"/>
      <c r="BL15" s="638"/>
      <c r="BM15" s="638"/>
      <c r="BN15" s="638"/>
    </row>
    <row r="16" spans="1:66" ht="15.75" customHeight="1" x14ac:dyDescent="0.2">
      <c r="A16" s="597" t="s">
        <v>245</v>
      </c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8">
        <v>3</v>
      </c>
      <c r="P16" s="598"/>
      <c r="Q16" s="596" t="s">
        <v>246</v>
      </c>
      <c r="R16" s="596"/>
      <c r="S16" s="596"/>
      <c r="T16" s="598">
        <v>10</v>
      </c>
      <c r="U16" s="598"/>
      <c r="V16" s="626" t="s">
        <v>247</v>
      </c>
      <c r="W16" s="626"/>
      <c r="X16" s="626"/>
      <c r="Y16" s="626"/>
      <c r="Z16" s="626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26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05" t="s">
        <v>49</v>
      </c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40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</row>
    <row r="18" spans="1:66" ht="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</row>
    <row r="19" spans="1:66" x14ac:dyDescent="0.2">
      <c r="A19" s="590" t="s">
        <v>10</v>
      </c>
      <c r="B19" s="606" t="s">
        <v>11</v>
      </c>
      <c r="C19" s="607"/>
      <c r="D19" s="607"/>
      <c r="E19" s="608"/>
      <c r="F19" s="593" t="s">
        <v>61</v>
      </c>
      <c r="G19" s="606" t="s">
        <v>25</v>
      </c>
      <c r="H19" s="607"/>
      <c r="I19" s="608"/>
      <c r="J19" s="593" t="s">
        <v>123</v>
      </c>
      <c r="K19" s="606" t="s">
        <v>12</v>
      </c>
      <c r="L19" s="607"/>
      <c r="M19" s="607"/>
      <c r="N19" s="608"/>
      <c r="O19" s="606" t="s">
        <v>13</v>
      </c>
      <c r="P19" s="607"/>
      <c r="Q19" s="607"/>
      <c r="R19" s="608"/>
      <c r="S19" s="593" t="s">
        <v>122</v>
      </c>
      <c r="T19" s="606" t="s">
        <v>14</v>
      </c>
      <c r="U19" s="607"/>
      <c r="V19" s="608"/>
      <c r="W19" s="593" t="s">
        <v>60</v>
      </c>
      <c r="X19" s="606" t="s">
        <v>15</v>
      </c>
      <c r="Y19" s="607"/>
      <c r="Z19" s="608"/>
      <c r="AA19" s="593" t="s">
        <v>118</v>
      </c>
      <c r="AB19" s="606" t="s">
        <v>16</v>
      </c>
      <c r="AC19" s="607"/>
      <c r="AD19" s="607"/>
      <c r="AE19" s="608"/>
      <c r="AF19" s="593" t="s">
        <v>59</v>
      </c>
      <c r="AG19" s="606" t="s">
        <v>17</v>
      </c>
      <c r="AH19" s="607"/>
      <c r="AI19" s="608"/>
      <c r="AJ19" s="593" t="s">
        <v>58</v>
      </c>
      <c r="AK19" s="606" t="s">
        <v>18</v>
      </c>
      <c r="AL19" s="607"/>
      <c r="AM19" s="607"/>
      <c r="AN19" s="608"/>
      <c r="AO19" s="606" t="s">
        <v>19</v>
      </c>
      <c r="AP19" s="607"/>
      <c r="AQ19" s="607"/>
      <c r="AR19" s="608"/>
      <c r="AS19" s="593" t="s">
        <v>121</v>
      </c>
      <c r="AT19" s="606" t="s">
        <v>20</v>
      </c>
      <c r="AU19" s="607"/>
      <c r="AV19" s="608"/>
      <c r="AW19" s="593" t="s">
        <v>117</v>
      </c>
      <c r="AX19" s="606" t="s">
        <v>21</v>
      </c>
      <c r="AY19" s="607"/>
      <c r="AZ19" s="607"/>
      <c r="BA19" s="608"/>
      <c r="BB19" s="599" t="s">
        <v>54</v>
      </c>
      <c r="BC19" s="600"/>
      <c r="BD19" s="600"/>
      <c r="BE19" s="600"/>
      <c r="BF19" s="600"/>
      <c r="BG19" s="600"/>
      <c r="BH19" s="600"/>
      <c r="BI19" s="600"/>
      <c r="BJ19" s="600"/>
      <c r="BK19" s="600"/>
      <c r="BL19" s="600"/>
      <c r="BM19" s="600"/>
      <c r="BN19" s="601"/>
    </row>
    <row r="20" spans="1:66" ht="15.75" customHeight="1" x14ac:dyDescent="0.2">
      <c r="A20" s="591"/>
      <c r="B20" s="609"/>
      <c r="C20" s="610"/>
      <c r="D20" s="610"/>
      <c r="E20" s="611"/>
      <c r="F20" s="594"/>
      <c r="G20" s="609"/>
      <c r="H20" s="610"/>
      <c r="I20" s="611"/>
      <c r="J20" s="594"/>
      <c r="K20" s="609"/>
      <c r="L20" s="610"/>
      <c r="M20" s="610"/>
      <c r="N20" s="611"/>
      <c r="O20" s="609"/>
      <c r="P20" s="610"/>
      <c r="Q20" s="610"/>
      <c r="R20" s="611"/>
      <c r="S20" s="594"/>
      <c r="T20" s="609"/>
      <c r="U20" s="610"/>
      <c r="V20" s="611"/>
      <c r="W20" s="594"/>
      <c r="X20" s="609"/>
      <c r="Y20" s="610"/>
      <c r="Z20" s="611"/>
      <c r="AA20" s="594"/>
      <c r="AB20" s="609"/>
      <c r="AC20" s="610"/>
      <c r="AD20" s="610"/>
      <c r="AE20" s="611"/>
      <c r="AF20" s="594"/>
      <c r="AG20" s="609"/>
      <c r="AH20" s="610"/>
      <c r="AI20" s="611"/>
      <c r="AJ20" s="594"/>
      <c r="AK20" s="609"/>
      <c r="AL20" s="610"/>
      <c r="AM20" s="610"/>
      <c r="AN20" s="611"/>
      <c r="AO20" s="609"/>
      <c r="AP20" s="610"/>
      <c r="AQ20" s="610"/>
      <c r="AR20" s="611"/>
      <c r="AS20" s="594"/>
      <c r="AT20" s="609"/>
      <c r="AU20" s="610"/>
      <c r="AV20" s="611"/>
      <c r="AW20" s="594"/>
      <c r="AX20" s="609"/>
      <c r="AY20" s="610"/>
      <c r="AZ20" s="610"/>
      <c r="BA20" s="611"/>
      <c r="BB20" s="627" t="s">
        <v>8</v>
      </c>
      <c r="BC20" s="628"/>
      <c r="BD20" s="629"/>
      <c r="BE20" s="627" t="s">
        <v>269</v>
      </c>
      <c r="BF20" s="628"/>
      <c r="BG20" s="629"/>
      <c r="BH20" s="602" t="s">
        <v>6</v>
      </c>
      <c r="BI20" s="602" t="s">
        <v>130</v>
      </c>
      <c r="BJ20" s="602" t="s">
        <v>536</v>
      </c>
      <c r="BK20" s="602" t="s">
        <v>55</v>
      </c>
      <c r="BL20" s="602" t="s">
        <v>536</v>
      </c>
      <c r="BM20" s="602" t="s">
        <v>45</v>
      </c>
      <c r="BN20" s="602" t="s">
        <v>1</v>
      </c>
    </row>
    <row r="21" spans="1:66" ht="15.75" customHeight="1" x14ac:dyDescent="0.2">
      <c r="A21" s="591"/>
      <c r="B21" s="7">
        <v>1</v>
      </c>
      <c r="C21" s="7">
        <v>8</v>
      </c>
      <c r="D21" s="7">
        <v>15</v>
      </c>
      <c r="E21" s="7">
        <v>22</v>
      </c>
      <c r="F21" s="636" t="s">
        <v>110</v>
      </c>
      <c r="G21" s="7">
        <v>6</v>
      </c>
      <c r="H21" s="7">
        <v>13</v>
      </c>
      <c r="I21" s="7">
        <v>20</v>
      </c>
      <c r="J21" s="636" t="s">
        <v>111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36" t="s">
        <v>112</v>
      </c>
      <c r="T21" s="7">
        <v>5</v>
      </c>
      <c r="U21" s="7">
        <v>12</v>
      </c>
      <c r="V21" s="7">
        <v>19</v>
      </c>
      <c r="W21" s="636" t="s">
        <v>113</v>
      </c>
      <c r="X21" s="7">
        <v>2</v>
      </c>
      <c r="Y21" s="7">
        <v>9</v>
      </c>
      <c r="Z21" s="7">
        <v>16</v>
      </c>
      <c r="AA21" s="636" t="s">
        <v>119</v>
      </c>
      <c r="AB21" s="7">
        <v>2</v>
      </c>
      <c r="AC21" s="7">
        <v>9</v>
      </c>
      <c r="AD21" s="7">
        <v>16</v>
      </c>
      <c r="AE21" s="7">
        <v>23</v>
      </c>
      <c r="AF21" s="636" t="s">
        <v>115</v>
      </c>
      <c r="AG21" s="7">
        <v>6</v>
      </c>
      <c r="AH21" s="7">
        <v>13</v>
      </c>
      <c r="AI21" s="7">
        <v>20</v>
      </c>
      <c r="AJ21" s="636" t="s">
        <v>116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36" t="s">
        <v>120</v>
      </c>
      <c r="AT21" s="7">
        <v>6</v>
      </c>
      <c r="AU21" s="7">
        <v>13</v>
      </c>
      <c r="AV21" s="7">
        <v>20</v>
      </c>
      <c r="AW21" s="636" t="s">
        <v>114</v>
      </c>
      <c r="AX21" s="7">
        <v>2</v>
      </c>
      <c r="AY21" s="7">
        <v>9</v>
      </c>
      <c r="AZ21" s="7">
        <v>16</v>
      </c>
      <c r="BA21" s="7">
        <v>23</v>
      </c>
      <c r="BB21" s="630"/>
      <c r="BC21" s="631"/>
      <c r="BD21" s="632"/>
      <c r="BE21" s="630"/>
      <c r="BF21" s="631"/>
      <c r="BG21" s="632"/>
      <c r="BH21" s="603"/>
      <c r="BI21" s="603"/>
      <c r="BJ21" s="603"/>
      <c r="BK21" s="603"/>
      <c r="BL21" s="603"/>
      <c r="BM21" s="603"/>
      <c r="BN21" s="603"/>
    </row>
    <row r="22" spans="1:66" ht="18" customHeight="1" x14ac:dyDescent="0.2">
      <c r="A22" s="591"/>
      <c r="B22" s="4">
        <v>7</v>
      </c>
      <c r="C22" s="4">
        <v>14</v>
      </c>
      <c r="D22" s="4">
        <v>21</v>
      </c>
      <c r="E22" s="4">
        <v>28</v>
      </c>
      <c r="F22" s="637"/>
      <c r="G22" s="4">
        <v>12</v>
      </c>
      <c r="H22" s="4">
        <v>19</v>
      </c>
      <c r="I22" s="4">
        <v>26</v>
      </c>
      <c r="J22" s="637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37"/>
      <c r="T22" s="4">
        <v>11</v>
      </c>
      <c r="U22" s="4">
        <v>18</v>
      </c>
      <c r="V22" s="4">
        <v>25</v>
      </c>
      <c r="W22" s="637"/>
      <c r="X22" s="4">
        <v>8</v>
      </c>
      <c r="Y22" s="4">
        <v>15</v>
      </c>
      <c r="Z22" s="4">
        <v>22</v>
      </c>
      <c r="AA22" s="637"/>
      <c r="AB22" s="4">
        <v>8</v>
      </c>
      <c r="AC22" s="4">
        <v>15</v>
      </c>
      <c r="AD22" s="4">
        <v>22</v>
      </c>
      <c r="AE22" s="4">
        <v>29</v>
      </c>
      <c r="AF22" s="637"/>
      <c r="AG22" s="4">
        <v>12</v>
      </c>
      <c r="AH22" s="4">
        <v>19</v>
      </c>
      <c r="AI22" s="4">
        <v>26</v>
      </c>
      <c r="AJ22" s="637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37"/>
      <c r="AT22" s="4">
        <v>12</v>
      </c>
      <c r="AU22" s="4">
        <v>19</v>
      </c>
      <c r="AV22" s="4">
        <v>26</v>
      </c>
      <c r="AW22" s="637"/>
      <c r="AX22" s="4">
        <v>8</v>
      </c>
      <c r="AY22" s="4">
        <v>15</v>
      </c>
      <c r="AZ22" s="4">
        <v>22</v>
      </c>
      <c r="BA22" s="4">
        <v>31</v>
      </c>
      <c r="BB22" s="633"/>
      <c r="BC22" s="634"/>
      <c r="BD22" s="635"/>
      <c r="BE22" s="633"/>
      <c r="BF22" s="634"/>
      <c r="BG22" s="635"/>
      <c r="BH22" s="603"/>
      <c r="BI22" s="603"/>
      <c r="BJ22" s="603"/>
      <c r="BK22" s="603"/>
      <c r="BL22" s="603"/>
      <c r="BM22" s="603"/>
      <c r="BN22" s="603"/>
    </row>
    <row r="23" spans="1:66" ht="15.75" customHeight="1" x14ac:dyDescent="0.2">
      <c r="A23" s="592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72</v>
      </c>
      <c r="BC23" s="10" t="s">
        <v>32</v>
      </c>
      <c r="BD23" s="11" t="s">
        <v>57</v>
      </c>
      <c r="BE23" s="10" t="s">
        <v>72</v>
      </c>
      <c r="BF23" s="10" t="s">
        <v>32</v>
      </c>
      <c r="BG23" s="11" t="s">
        <v>57</v>
      </c>
      <c r="BH23" s="604"/>
      <c r="BI23" s="604"/>
      <c r="BJ23" s="604"/>
      <c r="BK23" s="604"/>
      <c r="BL23" s="604"/>
      <c r="BM23" s="604"/>
      <c r="BN23" s="604"/>
    </row>
    <row r="24" spans="1:66" ht="15.75" customHeight="1" x14ac:dyDescent="0.2">
      <c r="A24" s="9">
        <v>1</v>
      </c>
      <c r="B24" s="41" t="s">
        <v>72</v>
      </c>
      <c r="C24" s="41" t="s">
        <v>72</v>
      </c>
      <c r="D24" s="41" t="s">
        <v>72</v>
      </c>
      <c r="E24" s="41" t="s">
        <v>72</v>
      </c>
      <c r="F24" s="41" t="s">
        <v>72</v>
      </c>
      <c r="G24" s="41" t="s">
        <v>72</v>
      </c>
      <c r="H24" s="41" t="s">
        <v>72</v>
      </c>
      <c r="I24" s="41" t="s">
        <v>72</v>
      </c>
      <c r="J24" s="41" t="s">
        <v>72</v>
      </c>
      <c r="K24" s="41" t="s">
        <v>72</v>
      </c>
      <c r="L24" s="41" t="s">
        <v>72</v>
      </c>
      <c r="M24" s="41" t="s">
        <v>72</v>
      </c>
      <c r="N24" s="41" t="s">
        <v>72</v>
      </c>
      <c r="O24" s="41" t="s">
        <v>72</v>
      </c>
      <c r="P24" s="41" t="s">
        <v>72</v>
      </c>
      <c r="Q24" s="41" t="s">
        <v>72</v>
      </c>
      <c r="R24" s="41" t="s">
        <v>72</v>
      </c>
      <c r="S24" s="41" t="s">
        <v>28</v>
      </c>
      <c r="T24" s="41" t="s">
        <v>28</v>
      </c>
      <c r="U24" s="41" t="s">
        <v>32</v>
      </c>
      <c r="V24" s="41" t="s">
        <v>32</v>
      </c>
      <c r="W24" s="41" t="s">
        <v>32</v>
      </c>
      <c r="X24" s="41" t="s">
        <v>32</v>
      </c>
      <c r="Y24" s="41" t="s">
        <v>32</v>
      </c>
      <c r="Z24" s="41" t="s">
        <v>32</v>
      </c>
      <c r="AA24" s="41" t="s">
        <v>32</v>
      </c>
      <c r="AB24" s="41" t="s">
        <v>32</v>
      </c>
      <c r="AC24" s="41" t="s">
        <v>32</v>
      </c>
      <c r="AD24" s="41" t="s">
        <v>32</v>
      </c>
      <c r="AE24" s="41" t="s">
        <v>32</v>
      </c>
      <c r="AF24" s="41" t="s">
        <v>32</v>
      </c>
      <c r="AG24" s="41" t="s">
        <v>32</v>
      </c>
      <c r="AH24" s="41" t="s">
        <v>32</v>
      </c>
      <c r="AI24" s="41" t="s">
        <v>32</v>
      </c>
      <c r="AJ24" s="41" t="s">
        <v>32</v>
      </c>
      <c r="AK24" s="41" t="s">
        <v>32</v>
      </c>
      <c r="AL24" s="41" t="s">
        <v>32</v>
      </c>
      <c r="AM24" s="41" t="s">
        <v>32</v>
      </c>
      <c r="AN24" s="41" t="s">
        <v>32</v>
      </c>
      <c r="AO24" s="41" t="s">
        <v>32</v>
      </c>
      <c r="AP24" s="41" t="s">
        <v>32</v>
      </c>
      <c r="AQ24" s="41" t="s">
        <v>206</v>
      </c>
      <c r="AR24" s="41" t="s">
        <v>206</v>
      </c>
      <c r="AS24" s="41" t="s">
        <v>28</v>
      </c>
      <c r="AT24" s="41" t="s">
        <v>28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17</v>
      </c>
      <c r="BC24" s="31">
        <f>COUNTIF(B24:BA24,"в")</f>
        <v>22</v>
      </c>
      <c r="BD24" s="32">
        <f>SUM(BB24:BC24)</f>
        <v>39</v>
      </c>
      <c r="BE24" s="31">
        <f>COUNTIF(B24:BA24,$R$31)</f>
        <v>0</v>
      </c>
      <c r="BF24" s="31">
        <f>COUNTIF(B24:BA24,$R$33)</f>
        <v>2</v>
      </c>
      <c r="BG24" s="32">
        <f>SUM(BE24:BF24)</f>
        <v>2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11</v>
      </c>
      <c r="BN24" s="32">
        <f>SUM(BG24:BM24)+BD24</f>
        <v>52</v>
      </c>
    </row>
    <row r="25" spans="1:66" ht="15.75" customHeight="1" x14ac:dyDescent="0.2">
      <c r="A25" s="9">
        <v>2</v>
      </c>
      <c r="B25" s="41" t="s">
        <v>72</v>
      </c>
      <c r="C25" s="41" t="s">
        <v>72</v>
      </c>
      <c r="D25" s="41" t="s">
        <v>72</v>
      </c>
      <c r="E25" s="41" t="s">
        <v>72</v>
      </c>
      <c r="F25" s="41" t="s">
        <v>72</v>
      </c>
      <c r="G25" s="41" t="s">
        <v>72</v>
      </c>
      <c r="H25" s="41" t="s">
        <v>72</v>
      </c>
      <c r="I25" s="41" t="s">
        <v>72</v>
      </c>
      <c r="J25" s="41" t="s">
        <v>72</v>
      </c>
      <c r="K25" s="41" t="s">
        <v>72</v>
      </c>
      <c r="L25" s="41" t="s">
        <v>72</v>
      </c>
      <c r="M25" s="41" t="s">
        <v>72</v>
      </c>
      <c r="N25" s="41" t="s">
        <v>72</v>
      </c>
      <c r="O25" s="41" t="s">
        <v>72</v>
      </c>
      <c r="P25" s="41" t="s">
        <v>72</v>
      </c>
      <c r="Q25" s="41" t="s">
        <v>72</v>
      </c>
      <c r="R25" s="41" t="s">
        <v>205</v>
      </c>
      <c r="S25" s="41" t="s">
        <v>28</v>
      </c>
      <c r="T25" s="41" t="s">
        <v>28</v>
      </c>
      <c r="U25" s="41" t="s">
        <v>32</v>
      </c>
      <c r="V25" s="41" t="s">
        <v>32</v>
      </c>
      <c r="W25" s="41" t="s">
        <v>32</v>
      </c>
      <c r="X25" s="41" t="s">
        <v>32</v>
      </c>
      <c r="Y25" s="41" t="s">
        <v>32</v>
      </c>
      <c r="Z25" s="41" t="s">
        <v>32</v>
      </c>
      <c r="AA25" s="41" t="s">
        <v>32</v>
      </c>
      <c r="AB25" s="41" t="s">
        <v>32</v>
      </c>
      <c r="AC25" s="41" t="s">
        <v>32</v>
      </c>
      <c r="AD25" s="41" t="s">
        <v>32</v>
      </c>
      <c r="AE25" s="41" t="s">
        <v>32</v>
      </c>
      <c r="AF25" s="41" t="s">
        <v>32</v>
      </c>
      <c r="AG25" s="41" t="s">
        <v>32</v>
      </c>
      <c r="AH25" s="41" t="s">
        <v>32</v>
      </c>
      <c r="AI25" s="41" t="s">
        <v>206</v>
      </c>
      <c r="AJ25" s="41" t="s">
        <v>51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16</v>
      </c>
      <c r="BC25" s="31">
        <f>COUNTIF(B25:BA25,"в")</f>
        <v>14</v>
      </c>
      <c r="BD25" s="32">
        <f>SUM(BB25:BC25)</f>
        <v>30</v>
      </c>
      <c r="BE25" s="31">
        <f>COUNTIF(B25:BA25,$R$31)</f>
        <v>1</v>
      </c>
      <c r="BF25" s="31">
        <f>COUNTIF(B25:BA25,$R$33)</f>
        <v>1</v>
      </c>
      <c r="BG25" s="32">
        <f>SUM(BE25:BF25)</f>
        <v>2</v>
      </c>
      <c r="BH25" s="32">
        <f>COUNTIF(A25:AZ25,$AF$31)</f>
        <v>12</v>
      </c>
      <c r="BI25" s="32">
        <f>COUNTIF(B25:BA25,$AF$33)</f>
        <v>0</v>
      </c>
      <c r="BJ25" s="32"/>
      <c r="BK25" s="32">
        <f>COUNTIF(B25:BA25,$AZ$31)</f>
        <v>0</v>
      </c>
      <c r="BL25" s="32">
        <f>COUNTIF(B25:BA25,$AQ$33)</f>
        <v>0</v>
      </c>
      <c r="BM25" s="32">
        <f>COUNTIF(B25:BA25,$AZ$33)</f>
        <v>8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51</v>
      </c>
      <c r="C26" s="41" t="s">
        <v>51</v>
      </c>
      <c r="D26" s="41" t="s">
        <v>51</v>
      </c>
      <c r="E26" s="41" t="s">
        <v>51</v>
      </c>
      <c r="F26" s="41" t="s">
        <v>72</v>
      </c>
      <c r="G26" s="41" t="s">
        <v>72</v>
      </c>
      <c r="H26" s="41" t="s">
        <v>72</v>
      </c>
      <c r="I26" s="41" t="s">
        <v>72</v>
      </c>
      <c r="J26" s="41" t="s">
        <v>72</v>
      </c>
      <c r="K26" s="41" t="s">
        <v>72</v>
      </c>
      <c r="L26" s="41" t="s">
        <v>72</v>
      </c>
      <c r="M26" s="41" t="s">
        <v>72</v>
      </c>
      <c r="N26" s="41" t="s">
        <v>72</v>
      </c>
      <c r="O26" s="41" t="s">
        <v>72</v>
      </c>
      <c r="P26" s="41" t="s">
        <v>72</v>
      </c>
      <c r="Q26" s="41" t="s">
        <v>72</v>
      </c>
      <c r="R26" s="41" t="s">
        <v>205</v>
      </c>
      <c r="S26" s="41" t="s">
        <v>28</v>
      </c>
      <c r="T26" s="41" t="s">
        <v>28</v>
      </c>
      <c r="U26" s="41" t="s">
        <v>32</v>
      </c>
      <c r="V26" s="41" t="s">
        <v>32</v>
      </c>
      <c r="W26" s="41" t="s">
        <v>32</v>
      </c>
      <c r="X26" s="41" t="s">
        <v>32</v>
      </c>
      <c r="Y26" s="41" t="s">
        <v>32</v>
      </c>
      <c r="Z26" s="41" t="s">
        <v>32</v>
      </c>
      <c r="AA26" s="41" t="s">
        <v>32</v>
      </c>
      <c r="AB26" s="41" t="s">
        <v>206</v>
      </c>
      <c r="AC26" s="41" t="s">
        <v>28</v>
      </c>
      <c r="AD26" s="41" t="s">
        <v>28</v>
      </c>
      <c r="AE26" s="41" t="s">
        <v>28</v>
      </c>
      <c r="AF26" s="41" t="s">
        <v>28</v>
      </c>
      <c r="AG26" s="41" t="s">
        <v>28</v>
      </c>
      <c r="AH26" s="41" t="s">
        <v>28</v>
      </c>
      <c r="AI26" s="41" t="s">
        <v>52</v>
      </c>
      <c r="AJ26" s="41" t="s">
        <v>52</v>
      </c>
      <c r="AK26" s="41" t="s">
        <v>52</v>
      </c>
      <c r="AL26" s="41" t="s">
        <v>52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12</v>
      </c>
      <c r="BC26" s="31">
        <f>COUNTIF(B26:BA26,"в")</f>
        <v>7</v>
      </c>
      <c r="BD26" s="32">
        <f>SUM(BB26:BC26)</f>
        <v>19</v>
      </c>
      <c r="BE26" s="31">
        <f>COUNTIF(B26:BA26,$R$31)</f>
        <v>1</v>
      </c>
      <c r="BF26" s="31">
        <f>COUNTIF(B26:BA26,$R$33)</f>
        <v>1</v>
      </c>
      <c r="BG26" s="32">
        <f>SUM(BE26:BF26)</f>
        <v>2</v>
      </c>
      <c r="BH26" s="32">
        <f>COUNTIF(B26:BA26,$AF$31)</f>
        <v>4</v>
      </c>
      <c r="BI26" s="32">
        <f>COUNTIF(B26:BA26,$AF$33)</f>
        <v>19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8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52</v>
      </c>
      <c r="L27" s="41" t="s">
        <v>52</v>
      </c>
      <c r="M27" s="41" t="s">
        <v>52</v>
      </c>
      <c r="N27" s="41" t="s">
        <v>52</v>
      </c>
      <c r="O27" s="41" t="s">
        <v>52</v>
      </c>
      <c r="P27" s="41" t="s">
        <v>52</v>
      </c>
      <c r="Q27" s="41" t="s">
        <v>52</v>
      </c>
      <c r="R27" s="41" t="s">
        <v>52</v>
      </c>
      <c r="S27" s="41" t="s">
        <v>28</v>
      </c>
      <c r="T27" s="41" t="s">
        <v>28</v>
      </c>
      <c r="U27" s="41" t="s">
        <v>32</v>
      </c>
      <c r="V27" s="41" t="s">
        <v>32</v>
      </c>
      <c r="W27" s="41" t="s">
        <v>32</v>
      </c>
      <c r="X27" s="41" t="s">
        <v>32</v>
      </c>
      <c r="Y27" s="41" t="s">
        <v>32</v>
      </c>
      <c r="Z27" s="41" t="s">
        <v>32</v>
      </c>
      <c r="AA27" s="41" t="s">
        <v>32</v>
      </c>
      <c r="AB27" s="41" t="s">
        <v>32</v>
      </c>
      <c r="AC27" s="41" t="s">
        <v>32</v>
      </c>
      <c r="AD27" s="41" t="s">
        <v>32</v>
      </c>
      <c r="AE27" s="41" t="s">
        <v>32</v>
      </c>
      <c r="AF27" s="41" t="s">
        <v>32</v>
      </c>
      <c r="AG27" s="41" t="s">
        <v>32</v>
      </c>
      <c r="AH27" s="41" t="s">
        <v>32</v>
      </c>
      <c r="AI27" s="41" t="s">
        <v>32</v>
      </c>
      <c r="AJ27" s="41" t="s">
        <v>32</v>
      </c>
      <c r="AK27" s="41" t="s">
        <v>32</v>
      </c>
      <c r="AL27" s="41" t="s">
        <v>32</v>
      </c>
      <c r="AM27" s="41" t="s">
        <v>32</v>
      </c>
      <c r="AN27" s="41" t="s">
        <v>206</v>
      </c>
      <c r="AO27" s="41" t="s">
        <v>31</v>
      </c>
      <c r="AP27" s="41" t="s">
        <v>31</v>
      </c>
      <c r="AQ27" s="41" t="s">
        <v>31</v>
      </c>
      <c r="AR27" s="41" t="s">
        <v>31</v>
      </c>
      <c r="AS27" s="41" t="s">
        <v>26</v>
      </c>
      <c r="AT27" s="41" t="s">
        <v>26</v>
      </c>
      <c r="AU27" s="41" t="s">
        <v>26</v>
      </c>
      <c r="AV27" s="41" t="s">
        <v>26</v>
      </c>
      <c r="AW27" s="41" t="s">
        <v>26</v>
      </c>
      <c r="AX27" s="41" t="s">
        <v>26</v>
      </c>
      <c r="AY27" s="41" t="s">
        <v>26</v>
      </c>
      <c r="AZ27" s="41" t="s">
        <v>26</v>
      </c>
      <c r="BA27" s="41" t="s">
        <v>26</v>
      </c>
      <c r="BB27" s="31">
        <f>COUNTIF(B27:BA27,"о")</f>
        <v>0</v>
      </c>
      <c r="BC27" s="31">
        <f>COUNTIF(B27:BA27,"в")</f>
        <v>19</v>
      </c>
      <c r="BD27" s="32">
        <f>SUM(BB27:BC27)</f>
        <v>19</v>
      </c>
      <c r="BE27" s="31">
        <f>COUNTIF(B27:BA27,$R$31)</f>
        <v>0</v>
      </c>
      <c r="BF27" s="31">
        <f>COUNTIF(B27:BA27,$R$33)</f>
        <v>1</v>
      </c>
      <c r="BG27" s="32">
        <f>SUM(BE27:BF27)</f>
        <v>1</v>
      </c>
      <c r="BH27" s="32">
        <f>COUNTIF(B27:BA27,$AF$31)</f>
        <v>0</v>
      </c>
      <c r="BI27" s="32">
        <f>COUNTIF(B27:BA27,$AF$33)</f>
        <v>17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43</v>
      </c>
    </row>
    <row r="28" spans="1:66" ht="15.75" hidden="1" customHeight="1" x14ac:dyDescent="0.2">
      <c r="A28" s="9">
        <v>5</v>
      </c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41" t="s">
        <v>26</v>
      </c>
      <c r="Z28" s="41" t="s">
        <v>26</v>
      </c>
      <c r="AA28" s="41" t="s">
        <v>26</v>
      </c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  <c r="AI28" s="41" t="s">
        <v>26</v>
      </c>
      <c r="AJ28" s="41" t="s">
        <v>26</v>
      </c>
      <c r="AK28" s="41" t="s">
        <v>26</v>
      </c>
      <c r="AL28" s="41" t="s">
        <v>26</v>
      </c>
      <c r="AM28" s="41" t="s">
        <v>26</v>
      </c>
      <c r="AN28" s="41" t="s">
        <v>26</v>
      </c>
      <c r="AO28" s="41" t="s">
        <v>26</v>
      </c>
      <c r="AP28" s="41" t="s">
        <v>26</v>
      </c>
      <c r="AQ28" s="41" t="s">
        <v>26</v>
      </c>
      <c r="AR28" s="41" t="s">
        <v>26</v>
      </c>
      <c r="AS28" s="41" t="s">
        <v>26</v>
      </c>
      <c r="AT28" s="41" t="s">
        <v>26</v>
      </c>
      <c r="AU28" s="41" t="s">
        <v>26</v>
      </c>
      <c r="AV28" s="41" t="s">
        <v>26</v>
      </c>
      <c r="AW28" s="41" t="s">
        <v>26</v>
      </c>
      <c r="AX28" s="41" t="s">
        <v>26</v>
      </c>
      <c r="AY28" s="41" t="s">
        <v>26</v>
      </c>
      <c r="AZ28" s="41" t="s">
        <v>26</v>
      </c>
      <c r="BA28" s="41" t="s">
        <v>26</v>
      </c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f>COUNTIF(B28:BA28,$AZ$31)</f>
        <v>0</v>
      </c>
      <c r="BL28" s="32">
        <f>COUNTIF(B28:BA28,$AQ$33)</f>
        <v>0</v>
      </c>
      <c r="BM28" s="32">
        <f>COUNTIF(B28:BA28,$AZ$33)</f>
        <v>0</v>
      </c>
      <c r="BN28" s="32">
        <f>SUM(BG28:BM28)+BD28</f>
        <v>0</v>
      </c>
    </row>
    <row r="29" spans="1:66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642" t="s">
        <v>53</v>
      </c>
      <c r="AZ29" s="642"/>
      <c r="BA29" s="642"/>
      <c r="BB29" s="13">
        <f t="shared" ref="BB29:BN29" si="0">SUM(BB24:BB28)</f>
        <v>45</v>
      </c>
      <c r="BC29" s="13">
        <f t="shared" si="0"/>
        <v>62</v>
      </c>
      <c r="BD29" s="13">
        <f t="shared" si="0"/>
        <v>107</v>
      </c>
      <c r="BE29" s="13">
        <f t="shared" si="0"/>
        <v>2</v>
      </c>
      <c r="BF29" s="13">
        <f t="shared" si="0"/>
        <v>5</v>
      </c>
      <c r="BG29" s="13">
        <f t="shared" si="0"/>
        <v>7</v>
      </c>
      <c r="BH29" s="13">
        <f t="shared" si="0"/>
        <v>16</v>
      </c>
      <c r="BI29" s="13">
        <f t="shared" si="0"/>
        <v>36</v>
      </c>
      <c r="BJ29" s="13">
        <f t="shared" si="0"/>
        <v>0</v>
      </c>
      <c r="BK29" s="13">
        <f t="shared" si="0"/>
        <v>0</v>
      </c>
      <c r="BL29" s="13">
        <f t="shared" si="0"/>
        <v>4</v>
      </c>
      <c r="BM29" s="13">
        <f t="shared" si="0"/>
        <v>29</v>
      </c>
      <c r="BN29" s="13">
        <f t="shared" si="0"/>
        <v>199</v>
      </c>
    </row>
    <row r="30" spans="1:66" ht="10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66" s="5" customFormat="1" ht="11.25" customHeight="1" x14ac:dyDescent="0.2">
      <c r="A31" s="42"/>
      <c r="B31" s="30" t="s">
        <v>72</v>
      </c>
      <c r="C31" s="43" t="s">
        <v>22</v>
      </c>
      <c r="D31" s="589" t="s">
        <v>73</v>
      </c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24" t="s">
        <v>205</v>
      </c>
      <c r="S31" s="43" t="s">
        <v>22</v>
      </c>
      <c r="T31" s="589" t="s">
        <v>203</v>
      </c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26" t="s">
        <v>51</v>
      </c>
      <c r="AG31" s="43" t="s">
        <v>22</v>
      </c>
      <c r="AH31" s="639" t="s">
        <v>23</v>
      </c>
      <c r="AI31" s="639"/>
      <c r="AJ31" s="639"/>
      <c r="AK31" s="639"/>
      <c r="AL31" s="639"/>
      <c r="AM31" s="639"/>
      <c r="AN31" s="639"/>
      <c r="AO31" s="639"/>
      <c r="AP31" s="639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2"/>
      <c r="BF31" s="432"/>
      <c r="BG31" s="432"/>
      <c r="BH31" s="432"/>
      <c r="BI31" s="42"/>
      <c r="BJ31" s="42"/>
      <c r="BK31" s="42"/>
      <c r="BL31" s="42"/>
      <c r="BM31" s="42"/>
      <c r="BN31" s="42"/>
    </row>
    <row r="32" spans="1:66" s="5" customFormat="1" ht="11.25" x14ac:dyDescent="0.2">
      <c r="A32" s="42"/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4"/>
      <c r="V32" s="43"/>
      <c r="W32" s="44"/>
      <c r="X32" s="44"/>
      <c r="Y32" s="43"/>
      <c r="Z32" s="44"/>
      <c r="AA32" s="44"/>
      <c r="AB32" s="43"/>
      <c r="AC32" s="44"/>
      <c r="AD32" s="44"/>
      <c r="AE32" s="43"/>
      <c r="AF32" s="4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</row>
    <row r="33" spans="1:66" s="5" customFormat="1" ht="11.25" customHeight="1" x14ac:dyDescent="0.2">
      <c r="A33" s="42"/>
      <c r="B33" s="30" t="s">
        <v>32</v>
      </c>
      <c r="C33" s="43" t="s">
        <v>22</v>
      </c>
      <c r="D33" s="589" t="s">
        <v>74</v>
      </c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24" t="s">
        <v>206</v>
      </c>
      <c r="S33" s="43" t="s">
        <v>22</v>
      </c>
      <c r="T33" s="589" t="s">
        <v>204</v>
      </c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26" t="s">
        <v>52</v>
      </c>
      <c r="AG33" s="43" t="s">
        <v>22</v>
      </c>
      <c r="AH33" s="639" t="s">
        <v>202</v>
      </c>
      <c r="AI33" s="639"/>
      <c r="AJ33" s="639"/>
      <c r="AK33" s="639"/>
      <c r="AL33" s="639"/>
      <c r="AM33" s="639"/>
      <c r="AN33" s="639"/>
      <c r="AO33" s="639"/>
      <c r="AP33" s="639"/>
      <c r="AQ33" s="24" t="s">
        <v>31</v>
      </c>
      <c r="AR33" s="43" t="s">
        <v>22</v>
      </c>
      <c r="AS33" s="641" t="s">
        <v>536</v>
      </c>
      <c r="AT33" s="641"/>
      <c r="AU33" s="641"/>
      <c r="AV33" s="641"/>
      <c r="AW33" s="641"/>
      <c r="AX33" s="641"/>
      <c r="AY33" s="641"/>
      <c r="AZ33" s="27" t="s">
        <v>28</v>
      </c>
      <c r="BA33" s="43" t="s">
        <v>22</v>
      </c>
      <c r="BB33" s="639" t="s">
        <v>201</v>
      </c>
      <c r="BC33" s="639"/>
      <c r="BD33" s="639"/>
      <c r="BE33" s="639"/>
      <c r="BF33" s="639"/>
      <c r="BG33" s="640"/>
      <c r="BH33" s="12" t="s">
        <v>26</v>
      </c>
      <c r="BI33" s="43" t="s">
        <v>22</v>
      </c>
      <c r="BJ33" s="641" t="s">
        <v>43</v>
      </c>
      <c r="BK33" s="641"/>
      <c r="BL33" s="641"/>
      <c r="BM33" s="641"/>
      <c r="BN33" s="641"/>
    </row>
    <row r="34" spans="1:66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641"/>
      <c r="AT34" s="641"/>
      <c r="AU34" s="641"/>
      <c r="AV34" s="641"/>
      <c r="AW34" s="641"/>
      <c r="AX34" s="641"/>
      <c r="AY34" s="641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641"/>
      <c r="BK34" s="641"/>
      <c r="BL34" s="641"/>
      <c r="BM34" s="641"/>
      <c r="BN34" s="641"/>
    </row>
    <row r="35" spans="1:66" hidden="1" x14ac:dyDescent="0.2">
      <c r="A35" s="23"/>
      <c r="B35" s="25" t="str">
        <f>B31</f>
        <v>о</v>
      </c>
      <c r="D35" s="14" t="s">
        <v>101</v>
      </c>
      <c r="L35" s="588" t="s">
        <v>149</v>
      </c>
      <c r="M35" s="588"/>
      <c r="N35" s="588"/>
      <c r="O35" s="588"/>
      <c r="P35" s="588"/>
      <c r="Q35" s="588"/>
      <c r="R35" s="588"/>
      <c r="S35" s="588"/>
      <c r="T35" s="588"/>
      <c r="U35" s="588"/>
    </row>
    <row r="36" spans="1:66" ht="21" hidden="1" x14ac:dyDescent="0.2">
      <c r="A36" s="23"/>
      <c r="B36" s="25" t="str">
        <f>R31</f>
        <v>оа</v>
      </c>
      <c r="D36" s="14" t="s">
        <v>102</v>
      </c>
      <c r="L36" s="588" t="s">
        <v>150</v>
      </c>
      <c r="M36" s="588"/>
      <c r="N36" s="588"/>
      <c r="O36" s="588"/>
      <c r="P36" s="588"/>
      <c r="Q36" s="588"/>
      <c r="R36" s="588"/>
      <c r="S36" s="588"/>
      <c r="T36" s="588"/>
      <c r="U36" s="588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14" t="s">
        <v>103</v>
      </c>
      <c r="L37" s="588" t="s">
        <v>153</v>
      </c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14"/>
      <c r="L38" s="588" t="s">
        <v>154</v>
      </c>
      <c r="M38" s="588"/>
      <c r="N38" s="588"/>
      <c r="O38" s="588"/>
      <c r="P38" s="588"/>
      <c r="Q38" s="588"/>
      <c r="R38" s="588"/>
      <c r="S38" s="588"/>
      <c r="T38" s="588"/>
      <c r="U38" s="588"/>
      <c r="V38" s="588"/>
      <c r="W38" s="588"/>
      <c r="X38" s="588"/>
      <c r="Y38" s="588"/>
      <c r="Z38" s="588"/>
      <c r="AA38" s="588"/>
      <c r="AB38" s="588"/>
      <c r="AC38" s="588"/>
      <c r="AD38" s="588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14" t="s">
        <v>104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>
        <f>AQ31</f>
        <v>0</v>
      </c>
    </row>
    <row r="43" spans="1:66" hidden="1" x14ac:dyDescent="0.2">
      <c r="A43" s="23"/>
      <c r="B43" s="28">
        <f>AZ31</f>
        <v>0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90">
    <mergeCell ref="X19:Z20"/>
    <mergeCell ref="W21:W22"/>
    <mergeCell ref="AA19:AA20"/>
    <mergeCell ref="AF21:AF22"/>
    <mergeCell ref="J19:J20"/>
    <mergeCell ref="AF19:AF20"/>
    <mergeCell ref="T19:V20"/>
    <mergeCell ref="B19:E20"/>
    <mergeCell ref="F21:F22"/>
    <mergeCell ref="J21:J22"/>
    <mergeCell ref="W19:W20"/>
    <mergeCell ref="K19:N20"/>
    <mergeCell ref="S21:S22"/>
    <mergeCell ref="G19:I20"/>
    <mergeCell ref="S19:S20"/>
    <mergeCell ref="BN20:BN23"/>
    <mergeCell ref="BB33:BG33"/>
    <mergeCell ref="AO19:AR20"/>
    <mergeCell ref="AH33:AP33"/>
    <mergeCell ref="AH31:AP31"/>
    <mergeCell ref="AX19:BA20"/>
    <mergeCell ref="AW21:AW22"/>
    <mergeCell ref="BE20:BG22"/>
    <mergeCell ref="BK20:BK23"/>
    <mergeCell ref="BL20:BL23"/>
    <mergeCell ref="AJ21:AJ22"/>
    <mergeCell ref="BJ33:BN34"/>
    <mergeCell ref="AS33:AY34"/>
    <mergeCell ref="AY29:BA29"/>
    <mergeCell ref="AJ19:AJ20"/>
    <mergeCell ref="O1:BB1"/>
    <mergeCell ref="O2:BB2"/>
    <mergeCell ref="O3:BB3"/>
    <mergeCell ref="O19:R20"/>
    <mergeCell ref="O16:P16"/>
    <mergeCell ref="V16:Z16"/>
    <mergeCell ref="AT19:AV20"/>
    <mergeCell ref="AK19:AN20"/>
    <mergeCell ref="BB20:BD22"/>
    <mergeCell ref="AS19:AS20"/>
    <mergeCell ref="AS21:AS22"/>
    <mergeCell ref="AW19:AW20"/>
    <mergeCell ref="AA21:AA22"/>
    <mergeCell ref="O8:BB8"/>
    <mergeCell ref="BC14:BN15"/>
    <mergeCell ref="BM20:BM23"/>
    <mergeCell ref="A2:N2"/>
    <mergeCell ref="A4:N4"/>
    <mergeCell ref="A7:BN7"/>
    <mergeCell ref="BC2:BN2"/>
    <mergeCell ref="BC6:BN6"/>
    <mergeCell ref="BC3:BN3"/>
    <mergeCell ref="H3:N3"/>
    <mergeCell ref="A3:G3"/>
    <mergeCell ref="BC4:BN4"/>
    <mergeCell ref="A9:N9"/>
    <mergeCell ref="O9:BB9"/>
    <mergeCell ref="BC9:BN12"/>
    <mergeCell ref="A13:N13"/>
    <mergeCell ref="O13:BB13"/>
    <mergeCell ref="A10:N10"/>
    <mergeCell ref="A11:N11"/>
    <mergeCell ref="BC13:BN13"/>
    <mergeCell ref="O10:BB10"/>
    <mergeCell ref="O11:BB11"/>
    <mergeCell ref="O12:BB12"/>
    <mergeCell ref="A19:A23"/>
    <mergeCell ref="F19:F20"/>
    <mergeCell ref="O15:BB15"/>
    <mergeCell ref="Q16:S16"/>
    <mergeCell ref="A14:N14"/>
    <mergeCell ref="O14:BB14"/>
    <mergeCell ref="A16:N16"/>
    <mergeCell ref="A15:N15"/>
    <mergeCell ref="T16:U16"/>
    <mergeCell ref="BB19:BN19"/>
    <mergeCell ref="BH20:BH23"/>
    <mergeCell ref="BI20:BI23"/>
    <mergeCell ref="O17:BB17"/>
    <mergeCell ref="AB19:AE20"/>
    <mergeCell ref="AG19:AI20"/>
    <mergeCell ref="BJ20:BJ23"/>
    <mergeCell ref="L37:AD37"/>
    <mergeCell ref="L38:AD38"/>
    <mergeCell ref="T31:AE31"/>
    <mergeCell ref="T33:AE33"/>
    <mergeCell ref="D33:Q33"/>
    <mergeCell ref="L35:U35"/>
    <mergeCell ref="L36:U36"/>
    <mergeCell ref="D31:Q31"/>
  </mergeCells>
  <phoneticPr fontId="9" type="noConversion"/>
  <conditionalFormatting sqref="A35:A36">
    <cfRule type="cellIs" priority="46" stopIfTrue="1" operator="equal">
      <formula>#REF!</formula>
    </cfRule>
  </conditionalFormatting>
  <conditionalFormatting sqref="A37:A38">
    <cfRule type="expression" dxfId="302" priority="45" stopIfTrue="1">
      <formula>$R$31</formula>
    </cfRule>
  </conditionalFormatting>
  <conditionalFormatting sqref="B35">
    <cfRule type="cellIs" priority="44" stopIfTrue="1" operator="equal">
      <formula>$B$31</formula>
    </cfRule>
  </conditionalFormatting>
  <conditionalFormatting sqref="B36">
    <cfRule type="cellIs" dxfId="301" priority="43" stopIfTrue="1" operator="equal">
      <formula>$R$31</formula>
    </cfRule>
  </conditionalFormatting>
  <conditionalFormatting sqref="B37">
    <cfRule type="cellIs" dxfId="300" priority="42" stopIfTrue="1" operator="equal">
      <formula>$B$33</formula>
    </cfRule>
  </conditionalFormatting>
  <conditionalFormatting sqref="B38">
    <cfRule type="cellIs" dxfId="299" priority="41" stopIfTrue="1" operator="equal">
      <formula>$R$33</formula>
    </cfRule>
  </conditionalFormatting>
  <conditionalFormatting sqref="B39">
    <cfRule type="cellIs" priority="40" stopIfTrue="1" operator="equal">
      <formula>$AF$31</formula>
    </cfRule>
  </conditionalFormatting>
  <conditionalFormatting sqref="B40">
    <cfRule type="cellIs" dxfId="298" priority="39" stopIfTrue="1" operator="equal">
      <formula>$AF$33</formula>
    </cfRule>
  </conditionalFormatting>
  <conditionalFormatting sqref="B41">
    <cfRule type="cellIs" dxfId="297" priority="38" stopIfTrue="1" operator="equal">
      <formula>$AZ$33</formula>
    </cfRule>
  </conditionalFormatting>
  <conditionalFormatting sqref="B42">
    <cfRule type="cellIs" dxfId="296" priority="37" stopIfTrue="1" operator="equal">
      <formula>$AQ$31</formula>
    </cfRule>
  </conditionalFormatting>
  <conditionalFormatting sqref="B43">
    <cfRule type="cellIs" dxfId="295" priority="36" stopIfTrue="1" operator="equal">
      <formula>$AZ$31</formula>
    </cfRule>
  </conditionalFormatting>
  <conditionalFormatting sqref="B44">
    <cfRule type="cellIs" dxfId="294" priority="35" stopIfTrue="1" operator="equal">
      <formula>$AQ$33</formula>
    </cfRule>
  </conditionalFormatting>
  <conditionalFormatting sqref="B45">
    <cfRule type="cellIs" priority="34" stopIfTrue="1" operator="equal">
      <formula>$BH$33</formula>
    </cfRule>
  </conditionalFormatting>
  <conditionalFormatting sqref="AQ24:AQ28 AP28 AS24:BA28 AR28 AP24:BA27 B24:AO28">
    <cfRule type="expression" dxfId="293" priority="31" stopIfTrue="1">
      <formula>OR(B24=$R$31,B24=$R$33,B24=$AQ$31,B24=$AZ$31,B24=$AQ$33)</formula>
    </cfRule>
    <cfRule type="expression" dxfId="292" priority="32" stopIfTrue="1">
      <formula>OR(B24=$AF$31,B24=$AF$33)</formula>
    </cfRule>
    <cfRule type="cellIs" dxfId="291" priority="33" stopIfTrue="1" operator="equal">
      <formula>$AZ$33</formula>
    </cfRule>
  </conditionalFormatting>
  <conditionalFormatting sqref="P27:P28 B24:BA27">
    <cfRule type="expression" dxfId="290" priority="19" stopIfTrue="1">
      <formula>OR(B24=$R$31,B24=$R$33,B24=$AQ$31,B24=$AZ$31,B24=$AQ$33)</formula>
    </cfRule>
    <cfRule type="expression" dxfId="289" priority="20" stopIfTrue="1">
      <formula>OR(B24=$AF$31,B24=$AF$33)</formula>
    </cfRule>
    <cfRule type="cellIs" dxfId="288" priority="21" stopIfTrue="1" operator="equal">
      <formula>$AZ$33</formula>
    </cfRule>
  </conditionalFormatting>
  <conditionalFormatting sqref="B27:BA27">
    <cfRule type="expression" dxfId="287" priority="16" stopIfTrue="1">
      <formula>OR(B27=$R$31,B27=$R$33,B27=$AQ$31,B27=$AZ$31,B27=$AQ$33)</formula>
    </cfRule>
    <cfRule type="expression" dxfId="286" priority="17" stopIfTrue="1">
      <formula>OR(B27=$AF$31,B27=$AF$33)</formula>
    </cfRule>
    <cfRule type="cellIs" dxfId="285" priority="18" stopIfTrue="1" operator="equal">
      <formula>$AZ$33</formula>
    </cfRule>
  </conditionalFormatting>
  <conditionalFormatting sqref="B27:BA27">
    <cfRule type="expression" dxfId="284" priority="13" stopIfTrue="1">
      <formula>OR(B27=$R$31,B27=$R$33,B27=$AQ$31,B27=$AZ$31,B27=$AQ$33)</formula>
    </cfRule>
    <cfRule type="expression" dxfId="283" priority="14" stopIfTrue="1">
      <formula>OR(B27=$AF$31,B27=$AF$33)</formula>
    </cfRule>
    <cfRule type="cellIs" dxfId="282" priority="15" stopIfTrue="1" operator="equal">
      <formula>$AZ$33</formula>
    </cfRule>
  </conditionalFormatting>
  <conditionalFormatting sqref="B27:AR27">
    <cfRule type="expression" dxfId="281" priority="10" stopIfTrue="1">
      <formula>OR(B27=$R$31,B27=$R$33,B27=$AQ$31,B27=$AZ$31,B27=$AQ$33)</formula>
    </cfRule>
    <cfRule type="expression" dxfId="280" priority="11" stopIfTrue="1">
      <formula>OR(B27=$AF$31,B27=$AF$33)</formula>
    </cfRule>
    <cfRule type="cellIs" dxfId="279" priority="12" stopIfTrue="1" operator="equal">
      <formula>$AZ$33</formula>
    </cfRule>
  </conditionalFormatting>
  <conditionalFormatting sqref="B27:AR27">
    <cfRule type="expression" dxfId="278" priority="7" stopIfTrue="1">
      <formula>OR(B27=$R$31,B27=$R$33,B27=$AQ$31,B27=$AZ$31,B27=$AQ$33)</formula>
    </cfRule>
    <cfRule type="expression" dxfId="277" priority="8" stopIfTrue="1">
      <formula>OR(B27=$AF$31,B27=$AF$33)</formula>
    </cfRule>
    <cfRule type="cellIs" dxfId="276" priority="9" stopIfTrue="1" operator="equal">
      <formula>$AZ$33</formula>
    </cfRule>
  </conditionalFormatting>
  <conditionalFormatting sqref="B27:AR27">
    <cfRule type="expression" dxfId="275" priority="4" stopIfTrue="1">
      <formula>OR(B27=$R$31,B27=$R$33,B27=$AQ$31,B27=$AZ$31,B27=$AQ$33)</formula>
    </cfRule>
    <cfRule type="expression" dxfId="274" priority="5" stopIfTrue="1">
      <formula>OR(B27=$AF$31,B27=$AF$33)</formula>
    </cfRule>
    <cfRule type="cellIs" dxfId="273" priority="6" stopIfTrue="1" operator="equal">
      <formula>$AZ$33</formula>
    </cfRule>
  </conditionalFormatting>
  <conditionalFormatting sqref="B27:AR27">
    <cfRule type="expression" dxfId="272" priority="1" stopIfTrue="1">
      <formula>OR(B27=$R$31,B27=$R$33,B27=$AQ$31,B27=$AZ$31,B27=$AQ$33)</formula>
    </cfRule>
    <cfRule type="expression" dxfId="271" priority="2" stopIfTrue="1">
      <formula>OR(B27=$AF$31,B27=$AF$33)</formula>
    </cfRule>
    <cfRule type="cellIs" dxfId="270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3:BB13">
      <formula1>$L$35:$L$36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scale="89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I158"/>
  <sheetViews>
    <sheetView showZeros="0" zoomScale="80" zoomScaleNormal="80" workbookViewId="0">
      <pane xSplit="17" ySplit="10" topLeftCell="AD35" activePane="bottomRight" state="frozen"/>
      <selection pane="topRight" activeCell="I1" sqref="I1"/>
      <selection pane="bottomLeft" activeCell="A16" sqref="A16"/>
      <selection pane="bottomRight" activeCell="BJ81" sqref="BJ81"/>
    </sheetView>
  </sheetViews>
  <sheetFormatPr defaultColWidth="9.33203125" defaultRowHeight="12.75" x14ac:dyDescent="0.2"/>
  <cols>
    <col min="1" max="1" width="17.6640625" style="469" customWidth="1"/>
    <col min="2" max="2" width="38.6640625" style="331" customWidth="1"/>
    <col min="3" max="3" width="16.83203125" style="331" customWidth="1"/>
    <col min="4" max="4" width="8.5" style="392" customWidth="1"/>
    <col min="5" max="7" width="7.6640625" style="392" customWidth="1"/>
    <col min="8" max="8" width="6.6640625" style="392" customWidth="1"/>
    <col min="9" max="9" width="6.6640625" style="393" customWidth="1"/>
    <col min="10" max="10" width="7.5" style="393" customWidth="1"/>
    <col min="11" max="12" width="8.33203125" style="331" customWidth="1"/>
    <col min="13" max="13" width="7.83203125" style="331" customWidth="1"/>
    <col min="14" max="14" width="7.1640625" style="331" customWidth="1"/>
    <col min="15" max="16" width="7.6640625" style="331" customWidth="1"/>
    <col min="17" max="17" width="7.1640625" style="331" customWidth="1"/>
    <col min="18" max="19" width="6.83203125" style="331" customWidth="1"/>
    <col min="20" max="20" width="7.6640625" style="331" customWidth="1"/>
    <col min="21" max="22" width="6.83203125" style="331" customWidth="1"/>
    <col min="23" max="23" width="7.83203125" style="331" customWidth="1"/>
    <col min="24" max="30" width="6.83203125" style="331" customWidth="1"/>
    <col min="31" max="31" width="7.33203125" style="331" customWidth="1"/>
    <col min="32" max="34" width="6.83203125" style="331" customWidth="1"/>
    <col min="35" max="35" width="7.1640625" style="331" customWidth="1"/>
    <col min="36" max="54" width="6.83203125" style="331" customWidth="1"/>
    <col min="55" max="55" width="7.6640625" style="331" customWidth="1"/>
    <col min="56" max="65" width="6.83203125" style="331" customWidth="1"/>
    <col min="66" max="81" width="6.83203125" style="331" hidden="1" customWidth="1"/>
    <col min="82" max="82" width="13" style="334" customWidth="1"/>
    <col min="83" max="83" width="26.1640625" style="334" customWidth="1"/>
    <col min="84" max="86" width="0" style="330" hidden="1" customWidth="1"/>
    <col min="87" max="16384" width="9.33203125" style="330"/>
  </cols>
  <sheetData>
    <row r="1" spans="1:86" ht="15.75" hidden="1" x14ac:dyDescent="0.2">
      <c r="A1" s="655" t="s">
        <v>36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  <c r="AR1" s="655"/>
      <c r="AS1" s="655"/>
      <c r="AT1" s="655"/>
      <c r="AU1" s="655"/>
      <c r="AV1" s="655"/>
      <c r="AW1" s="655"/>
      <c r="AX1" s="655"/>
      <c r="AY1" s="655"/>
      <c r="AZ1" s="655"/>
      <c r="BA1" s="655"/>
      <c r="BB1" s="655"/>
      <c r="BC1" s="655"/>
      <c r="BD1" s="655"/>
      <c r="BE1" s="655"/>
      <c r="BF1" s="655"/>
      <c r="BG1" s="655"/>
      <c r="BH1" s="655"/>
      <c r="BI1" s="655"/>
      <c r="BJ1" s="655"/>
      <c r="BK1" s="655"/>
      <c r="BL1" s="655"/>
      <c r="BM1" s="655"/>
      <c r="BN1" s="655"/>
      <c r="BO1" s="655"/>
      <c r="BP1" s="655"/>
      <c r="BQ1" s="655"/>
      <c r="BR1" s="655"/>
      <c r="BS1" s="655"/>
      <c r="BT1" s="655"/>
      <c r="BU1" s="655"/>
      <c r="BV1" s="655"/>
      <c r="BW1" s="655"/>
      <c r="BX1" s="655"/>
      <c r="BY1" s="655"/>
      <c r="BZ1" s="655"/>
      <c r="CA1" s="655"/>
      <c r="CB1" s="655"/>
      <c r="CC1" s="655"/>
      <c r="CD1" s="656"/>
      <c r="CE1" s="655"/>
    </row>
    <row r="2" spans="1:86" x14ac:dyDescent="0.2">
      <c r="B2" s="332"/>
      <c r="C2" s="332"/>
      <c r="D2" s="332"/>
      <c r="E2" s="332"/>
      <c r="F2" s="332"/>
      <c r="G2" s="332"/>
      <c r="H2" s="332"/>
      <c r="I2" s="333"/>
      <c r="J2" s="333"/>
      <c r="K2" s="332"/>
      <c r="L2" s="332"/>
      <c r="M2" s="332"/>
      <c r="N2" s="332"/>
      <c r="O2" s="332"/>
      <c r="P2" s="332"/>
    </row>
    <row r="3" spans="1:86" s="336" customFormat="1" ht="12.75" customHeight="1" x14ac:dyDescent="0.2">
      <c r="A3" s="657" t="s">
        <v>155</v>
      </c>
      <c r="B3" s="659" t="s">
        <v>524</v>
      </c>
      <c r="C3" s="659" t="s">
        <v>70</v>
      </c>
      <c r="D3" s="661" t="s">
        <v>525</v>
      </c>
      <c r="E3" s="662"/>
      <c r="F3" s="662"/>
      <c r="G3" s="662"/>
      <c r="H3" s="662"/>
      <c r="I3" s="665" t="s">
        <v>207</v>
      </c>
      <c r="J3" s="666"/>
      <c r="K3" s="671" t="s">
        <v>2</v>
      </c>
      <c r="L3" s="671"/>
      <c r="M3" s="671"/>
      <c r="N3" s="671"/>
      <c r="O3" s="671"/>
      <c r="P3" s="671"/>
      <c r="Q3" s="671"/>
      <c r="R3" s="335"/>
      <c r="S3" s="672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  <c r="AK3" s="671"/>
      <c r="AL3" s="671"/>
      <c r="AM3" s="671"/>
      <c r="AN3" s="671"/>
      <c r="AO3" s="671"/>
      <c r="AP3" s="671"/>
      <c r="AQ3" s="671"/>
      <c r="AR3" s="671"/>
      <c r="AS3" s="671"/>
      <c r="AT3" s="671"/>
      <c r="AU3" s="671"/>
      <c r="AV3" s="671"/>
      <c r="AW3" s="671"/>
      <c r="AX3" s="671"/>
      <c r="AY3" s="671"/>
      <c r="AZ3" s="671"/>
      <c r="BA3" s="671"/>
      <c r="BB3" s="671"/>
      <c r="BC3" s="671"/>
      <c r="BD3" s="671"/>
      <c r="BE3" s="671"/>
      <c r="BF3" s="671"/>
      <c r="BG3" s="671"/>
      <c r="BH3" s="671"/>
      <c r="BI3" s="671"/>
      <c r="BJ3" s="671"/>
      <c r="BK3" s="671"/>
      <c r="BL3" s="671"/>
      <c r="BM3" s="671"/>
      <c r="BN3" s="671"/>
      <c r="BO3" s="671"/>
      <c r="BP3" s="671"/>
      <c r="BQ3" s="671"/>
      <c r="BR3" s="671"/>
      <c r="BS3" s="671"/>
      <c r="BT3" s="671"/>
      <c r="BU3" s="671"/>
      <c r="BV3" s="671"/>
      <c r="BW3" s="671"/>
      <c r="BX3" s="671"/>
      <c r="BY3" s="671"/>
      <c r="BZ3" s="671"/>
      <c r="CA3" s="671"/>
      <c r="CB3" s="671"/>
      <c r="CC3" s="671"/>
      <c r="CD3" s="673" t="s">
        <v>156</v>
      </c>
      <c r="CE3" s="673" t="s">
        <v>68</v>
      </c>
    </row>
    <row r="4" spans="1:86" s="336" customFormat="1" ht="12.75" customHeight="1" x14ac:dyDescent="0.2">
      <c r="A4" s="658"/>
      <c r="B4" s="660"/>
      <c r="C4" s="660"/>
      <c r="D4" s="663"/>
      <c r="E4" s="664"/>
      <c r="F4" s="664"/>
      <c r="G4" s="664"/>
      <c r="H4" s="664"/>
      <c r="I4" s="667"/>
      <c r="J4" s="668"/>
      <c r="K4" s="687" t="s">
        <v>1</v>
      </c>
      <c r="L4" s="689" t="s">
        <v>3</v>
      </c>
      <c r="M4" s="689"/>
      <c r="N4" s="689"/>
      <c r="O4" s="689"/>
      <c r="P4" s="689"/>
      <c r="Q4" s="672"/>
      <c r="R4" s="672"/>
      <c r="S4" s="671"/>
      <c r="T4" s="671"/>
      <c r="U4" s="671"/>
      <c r="V4" s="671"/>
      <c r="W4" s="671"/>
      <c r="X4" s="671"/>
      <c r="Y4" s="671"/>
      <c r="Z4" s="671"/>
      <c r="AA4" s="671"/>
      <c r="AB4" s="671"/>
      <c r="AC4" s="686"/>
      <c r="AD4" s="672"/>
      <c r="AE4" s="671"/>
      <c r="AF4" s="671"/>
      <c r="AG4" s="671"/>
      <c r="AH4" s="671"/>
      <c r="AI4" s="671"/>
      <c r="AJ4" s="671"/>
      <c r="AK4" s="671"/>
      <c r="AL4" s="671"/>
      <c r="AM4" s="671"/>
      <c r="AN4" s="671"/>
      <c r="AO4" s="686"/>
      <c r="AP4" s="671"/>
      <c r="AQ4" s="671"/>
      <c r="AR4" s="671"/>
      <c r="AS4" s="671"/>
      <c r="AT4" s="671"/>
      <c r="AU4" s="671"/>
      <c r="AV4" s="671"/>
      <c r="AW4" s="671"/>
      <c r="AX4" s="671"/>
      <c r="AY4" s="671"/>
      <c r="AZ4" s="671"/>
      <c r="BA4" s="671"/>
      <c r="BB4" s="672"/>
      <c r="BC4" s="671"/>
      <c r="BD4" s="671"/>
      <c r="BE4" s="671"/>
      <c r="BF4" s="671"/>
      <c r="BG4" s="671"/>
      <c r="BH4" s="671"/>
      <c r="BI4" s="671"/>
      <c r="BJ4" s="671"/>
      <c r="BK4" s="671"/>
      <c r="BL4" s="671"/>
      <c r="BM4" s="686"/>
      <c r="BN4" s="671"/>
      <c r="BO4" s="671"/>
      <c r="BP4" s="671"/>
      <c r="BQ4" s="671"/>
      <c r="BR4" s="671"/>
      <c r="BS4" s="671"/>
      <c r="BT4" s="671"/>
      <c r="BU4" s="671"/>
      <c r="BV4" s="671"/>
      <c r="BW4" s="671"/>
      <c r="BX4" s="671"/>
      <c r="BY4" s="671"/>
      <c r="BZ4" s="671"/>
      <c r="CA4" s="671"/>
      <c r="CB4" s="671"/>
      <c r="CC4" s="671"/>
      <c r="CD4" s="674"/>
      <c r="CE4" s="674"/>
    </row>
    <row r="5" spans="1:86" s="336" customFormat="1" ht="12.75" customHeight="1" x14ac:dyDescent="0.2">
      <c r="A5" s="658"/>
      <c r="B5" s="660"/>
      <c r="C5" s="660"/>
      <c r="D5" s="675" t="s">
        <v>62</v>
      </c>
      <c r="E5" s="675" t="s">
        <v>526</v>
      </c>
      <c r="F5" s="427"/>
      <c r="G5" s="675" t="s">
        <v>527</v>
      </c>
      <c r="H5" s="677" t="s">
        <v>528</v>
      </c>
      <c r="I5" s="667"/>
      <c r="J5" s="668"/>
      <c r="K5" s="688"/>
      <c r="L5" s="690" t="s">
        <v>76</v>
      </c>
      <c r="M5" s="671"/>
      <c r="N5" s="671"/>
      <c r="O5" s="671"/>
      <c r="P5" s="686"/>
      <c r="Q5" s="708" t="s">
        <v>78</v>
      </c>
      <c r="R5" s="661" t="s">
        <v>27</v>
      </c>
      <c r="S5" s="662"/>
      <c r="T5" s="454"/>
      <c r="U5" s="454"/>
      <c r="V5" s="454">
        <f>'Титульный лист (очная)'!BB24</f>
        <v>17</v>
      </c>
      <c r="W5" s="487">
        <f>'Титульный лист (очная)'!BE24</f>
        <v>0</v>
      </c>
      <c r="X5" s="661" t="s">
        <v>30</v>
      </c>
      <c r="Y5" s="662"/>
      <c r="Z5" s="449"/>
      <c r="AA5" s="449"/>
      <c r="AB5" s="454">
        <f>'Титульный лист (очная)'!BC24</f>
        <v>22</v>
      </c>
      <c r="AC5" s="487">
        <f>'Титульный лист (очная)'!BF24</f>
        <v>2</v>
      </c>
      <c r="AD5" s="662" t="s">
        <v>29</v>
      </c>
      <c r="AE5" s="662"/>
      <c r="AF5" s="339"/>
      <c r="AG5" s="339"/>
      <c r="AH5" s="454">
        <f>'Титульный лист (очная)'!BB25</f>
        <v>16</v>
      </c>
      <c r="AI5" s="454">
        <f>'Титульный лист (очная)'!BE25</f>
        <v>1</v>
      </c>
      <c r="AJ5" s="661" t="s">
        <v>39</v>
      </c>
      <c r="AK5" s="662"/>
      <c r="AL5" s="449"/>
      <c r="AM5" s="449"/>
      <c r="AN5" s="454">
        <f>'Титульный лист (очная)'!BC25</f>
        <v>14</v>
      </c>
      <c r="AO5" s="487">
        <f>'Титульный лист (очная)'!BF25</f>
        <v>1</v>
      </c>
      <c r="AP5" s="650" t="s">
        <v>40</v>
      </c>
      <c r="AQ5" s="651"/>
      <c r="AR5" s="339"/>
      <c r="AS5" s="339"/>
      <c r="AT5" s="454">
        <f>'Титульный лист (очная)'!BB26</f>
        <v>12</v>
      </c>
      <c r="AU5" s="454">
        <f>'Титульный лист (очная)'!BE26</f>
        <v>1</v>
      </c>
      <c r="AV5" s="706" t="s">
        <v>41</v>
      </c>
      <c r="AW5" s="697"/>
      <c r="AX5" s="449"/>
      <c r="AY5" s="449"/>
      <c r="AZ5" s="454">
        <f>'Титульный лист (очная)'!BC26</f>
        <v>7</v>
      </c>
      <c r="BA5" s="487">
        <f>'Титульный лист (очная)'!BF26</f>
        <v>1</v>
      </c>
      <c r="BB5" s="680" t="s">
        <v>42</v>
      </c>
      <c r="BC5" s="651"/>
      <c r="BD5" s="449"/>
      <c r="BE5" s="449"/>
      <c r="BF5" s="454">
        <f>'Титульный лист (очная)'!BB27</f>
        <v>0</v>
      </c>
      <c r="BG5" s="454">
        <f>'Титульный лист (очная)'!BE27</f>
        <v>0</v>
      </c>
      <c r="BH5" s="706" t="s">
        <v>37</v>
      </c>
      <c r="BI5" s="697"/>
      <c r="BJ5" s="449"/>
      <c r="BK5" s="449"/>
      <c r="BL5" s="454">
        <f>'Титульный лист (очная)'!BC27</f>
        <v>19</v>
      </c>
      <c r="BM5" s="487">
        <f>'Титульный лист (очная)'!BF27</f>
        <v>1</v>
      </c>
      <c r="BN5" s="650" t="s">
        <v>38</v>
      </c>
      <c r="BO5" s="654"/>
      <c r="BP5" s="651"/>
      <c r="BQ5" s="339"/>
      <c r="BR5" s="339"/>
      <c r="BS5" s="679">
        <f>'Титульный лист (очная)'!BB28</f>
        <v>0</v>
      </c>
      <c r="BT5" s="679"/>
      <c r="BU5" s="338">
        <f>'Титульный лист (очная)'!BE28</f>
        <v>0</v>
      </c>
      <c r="BV5" s="696" t="s">
        <v>75</v>
      </c>
      <c r="BW5" s="696"/>
      <c r="BX5" s="697"/>
      <c r="BY5" s="339"/>
      <c r="BZ5" s="339"/>
      <c r="CA5" s="679">
        <f>'Титульный лист (очная)'!BC28</f>
        <v>0</v>
      </c>
      <c r="CB5" s="679"/>
      <c r="CC5" s="337">
        <f>'Титульный лист (очная)'!BF28</f>
        <v>0</v>
      </c>
      <c r="CD5" s="674"/>
      <c r="CE5" s="674"/>
    </row>
    <row r="6" spans="1:86" s="336" customFormat="1" ht="12.75" customHeight="1" x14ac:dyDescent="0.2">
      <c r="A6" s="658"/>
      <c r="B6" s="660"/>
      <c r="C6" s="660"/>
      <c r="D6" s="676"/>
      <c r="E6" s="676"/>
      <c r="F6" s="428"/>
      <c r="G6" s="676"/>
      <c r="H6" s="678"/>
      <c r="I6" s="667"/>
      <c r="J6" s="668"/>
      <c r="K6" s="688"/>
      <c r="L6" s="705"/>
      <c r="M6" s="690" t="s">
        <v>529</v>
      </c>
      <c r="N6" s="690" t="s">
        <v>530</v>
      </c>
      <c r="O6" s="690" t="s">
        <v>210</v>
      </c>
      <c r="P6" s="690" t="s">
        <v>267</v>
      </c>
      <c r="Q6" s="708"/>
      <c r="R6" s="663" t="s">
        <v>67</v>
      </c>
      <c r="S6" s="664"/>
      <c r="T6" s="664" t="s">
        <v>54</v>
      </c>
      <c r="U6" s="664"/>
      <c r="V6" s="664"/>
      <c r="W6" s="488" t="s">
        <v>208</v>
      </c>
      <c r="X6" s="663" t="s">
        <v>67</v>
      </c>
      <c r="Y6" s="664"/>
      <c r="Z6" s="450"/>
      <c r="AA6" s="450"/>
      <c r="AB6" s="450" t="s">
        <v>54</v>
      </c>
      <c r="AC6" s="488" t="s">
        <v>208</v>
      </c>
      <c r="AD6" s="664" t="s">
        <v>67</v>
      </c>
      <c r="AE6" s="664"/>
      <c r="AF6" s="341"/>
      <c r="AG6" s="341"/>
      <c r="AH6" s="450" t="s">
        <v>54</v>
      </c>
      <c r="AI6" s="450" t="s">
        <v>208</v>
      </c>
      <c r="AJ6" s="663" t="s">
        <v>67</v>
      </c>
      <c r="AK6" s="664"/>
      <c r="AL6" s="450"/>
      <c r="AM6" s="450"/>
      <c r="AN6" s="450" t="s">
        <v>54</v>
      </c>
      <c r="AO6" s="488" t="s">
        <v>208</v>
      </c>
      <c r="AP6" s="693" t="s">
        <v>67</v>
      </c>
      <c r="AQ6" s="695"/>
      <c r="AR6" s="341"/>
      <c r="AS6" s="341"/>
      <c r="AT6" s="450" t="s">
        <v>54</v>
      </c>
      <c r="AU6" s="450" t="s">
        <v>208</v>
      </c>
      <c r="AV6" s="692" t="s">
        <v>67</v>
      </c>
      <c r="AW6" s="653"/>
      <c r="AX6" s="450"/>
      <c r="AY6" s="450"/>
      <c r="AZ6" s="450" t="s">
        <v>54</v>
      </c>
      <c r="BA6" s="488" t="s">
        <v>208</v>
      </c>
      <c r="BB6" s="702" t="s">
        <v>67</v>
      </c>
      <c r="BC6" s="695"/>
      <c r="BD6" s="450"/>
      <c r="BE6" s="450"/>
      <c r="BF6" s="450" t="s">
        <v>54</v>
      </c>
      <c r="BG6" s="450" t="s">
        <v>208</v>
      </c>
      <c r="BH6" s="692" t="s">
        <v>67</v>
      </c>
      <c r="BI6" s="653"/>
      <c r="BJ6" s="450"/>
      <c r="BK6" s="450"/>
      <c r="BL6" s="450" t="s">
        <v>54</v>
      </c>
      <c r="BM6" s="488" t="s">
        <v>208</v>
      </c>
      <c r="BN6" s="693" t="s">
        <v>67</v>
      </c>
      <c r="BO6" s="694"/>
      <c r="BP6" s="695"/>
      <c r="BQ6" s="341"/>
      <c r="BR6" s="341"/>
      <c r="BS6" s="664" t="s">
        <v>54</v>
      </c>
      <c r="BT6" s="664"/>
      <c r="BU6" s="340" t="s">
        <v>208</v>
      </c>
      <c r="BV6" s="652" t="s">
        <v>67</v>
      </c>
      <c r="BW6" s="652"/>
      <c r="BX6" s="653"/>
      <c r="BY6" s="341"/>
      <c r="BZ6" s="341"/>
      <c r="CA6" s="664" t="s">
        <v>54</v>
      </c>
      <c r="CB6" s="664"/>
      <c r="CC6" s="341" t="s">
        <v>208</v>
      </c>
      <c r="CD6" s="674"/>
      <c r="CE6" s="674"/>
    </row>
    <row r="7" spans="1:86" s="336" customFormat="1" ht="12.75" customHeight="1" x14ac:dyDescent="0.2">
      <c r="A7" s="658"/>
      <c r="B7" s="660"/>
      <c r="C7" s="660"/>
      <c r="D7" s="676"/>
      <c r="E7" s="676"/>
      <c r="F7" s="428"/>
      <c r="G7" s="676"/>
      <c r="H7" s="678"/>
      <c r="I7" s="667"/>
      <c r="J7" s="668"/>
      <c r="K7" s="688"/>
      <c r="L7" s="705"/>
      <c r="M7" s="691"/>
      <c r="N7" s="691"/>
      <c r="O7" s="691"/>
      <c r="P7" s="691"/>
      <c r="Q7" s="708"/>
      <c r="R7" s="645" t="s">
        <v>132</v>
      </c>
      <c r="S7" s="646"/>
      <c r="T7" s="453"/>
      <c r="U7" s="453"/>
      <c r="V7" s="343">
        <f>IF((SUM(S91:W91)+SUM(S83:W83))=0,0,(SUM(S91:W91)+SUM(S83:W83))/Нормы!$G$39)</f>
        <v>0</v>
      </c>
      <c r="W7" s="485" t="s">
        <v>133</v>
      </c>
      <c r="X7" s="646" t="s">
        <v>132</v>
      </c>
      <c r="Y7" s="646"/>
      <c r="Z7" s="453"/>
      <c r="AA7" s="453"/>
      <c r="AB7" s="343">
        <f>IF((SUM(Y91:AC91)+SUM(Y83:AC83))=0,0,(SUM(Y91:AC91)+SUM(Y83:AC83))/Нормы!$G$39)</f>
        <v>0</v>
      </c>
      <c r="AC7" s="485" t="s">
        <v>133</v>
      </c>
      <c r="AD7" s="645" t="s">
        <v>132</v>
      </c>
      <c r="AE7" s="646"/>
      <c r="AF7" s="453"/>
      <c r="AG7" s="453"/>
      <c r="AH7" s="343">
        <f>IF((SUM(AE91:AI91)+SUM(AE83:AI83))=0,0,(SUM(AE91:AI91)+SUM(AE83:AI83))/Нормы!$G$39)</f>
        <v>0</v>
      </c>
      <c r="AI7" s="484" t="s">
        <v>133</v>
      </c>
      <c r="AJ7" s="645" t="s">
        <v>132</v>
      </c>
      <c r="AK7" s="646"/>
      <c r="AL7" s="453"/>
      <c r="AM7" s="453"/>
      <c r="AN7" s="343">
        <f>IF((SUM(AK91:AO91)+SUM(AK83:AO83))=0,0,(SUM(AK91:AO91)+SUM(AK83:AO83))/Нормы!$G$39)</f>
        <v>12</v>
      </c>
      <c r="AO7" s="485" t="s">
        <v>133</v>
      </c>
      <c r="AP7" s="646" t="s">
        <v>132</v>
      </c>
      <c r="AQ7" s="646"/>
      <c r="AR7" s="453"/>
      <c r="AS7" s="453"/>
      <c r="AT7" s="343">
        <f>IF((SUM(AQ91:AU91)+SUM(AQ83:AU83))=0,0,(SUM(AQ91:AU91)+SUM(AQ83:AU83))/Нормы!$G$39)</f>
        <v>4</v>
      </c>
      <c r="AU7" s="484" t="s">
        <v>133</v>
      </c>
      <c r="AV7" s="645" t="s">
        <v>132</v>
      </c>
      <c r="AW7" s="646"/>
      <c r="AX7" s="453"/>
      <c r="AY7" s="453"/>
      <c r="AZ7" s="343">
        <f>IF((SUM(AW91:BA91)+SUM(AW83:BA83))=0,0,(SUM(AW91:BA91)+SUM(AW83:BA83))/Нормы!$G$39)</f>
        <v>19</v>
      </c>
      <c r="BA7" s="485" t="s">
        <v>133</v>
      </c>
      <c r="BB7" s="645" t="s">
        <v>132</v>
      </c>
      <c r="BC7" s="646"/>
      <c r="BD7" s="453"/>
      <c r="BE7" s="453"/>
      <c r="BF7" s="343">
        <f>IF((SUM(BC91:BG91)+SUM(BC83:BG83))=0,0,(SUM(BC91:BG91)+SUM(BC83:BG83))/Нормы!$G$39)</f>
        <v>17</v>
      </c>
      <c r="BG7" s="484" t="s">
        <v>133</v>
      </c>
      <c r="BH7" s="645" t="s">
        <v>132</v>
      </c>
      <c r="BI7" s="646"/>
      <c r="BJ7" s="453"/>
      <c r="BK7" s="453"/>
      <c r="BL7" s="343">
        <f>IF((SUM(BI91:BM91)+SUM(BI83:BM83))=0,0,(SUM(BI91:BM91)+SUM(BI83:BM83))/Нормы!$G$39)</f>
        <v>0</v>
      </c>
      <c r="BM7" s="485" t="s">
        <v>133</v>
      </c>
      <c r="BN7" s="484"/>
      <c r="BO7" s="646" t="s">
        <v>132</v>
      </c>
      <c r="BP7" s="646"/>
      <c r="BQ7" s="346"/>
      <c r="BR7" s="346"/>
      <c r="BS7" s="342"/>
      <c r="BT7" s="343">
        <v>0</v>
      </c>
      <c r="BU7" s="344" t="s">
        <v>133</v>
      </c>
      <c r="BV7" s="345"/>
      <c r="BW7" s="646" t="s">
        <v>132</v>
      </c>
      <c r="BX7" s="646"/>
      <c r="BY7" s="346"/>
      <c r="BZ7" s="346"/>
      <c r="CA7" s="342"/>
      <c r="CB7" s="343">
        <v>0</v>
      </c>
      <c r="CC7" s="347" t="s">
        <v>133</v>
      </c>
      <c r="CD7" s="674"/>
      <c r="CE7" s="674"/>
    </row>
    <row r="8" spans="1:86" s="336" customFormat="1" ht="12.75" customHeight="1" x14ac:dyDescent="0.2">
      <c r="A8" s="658"/>
      <c r="B8" s="660"/>
      <c r="C8" s="660"/>
      <c r="D8" s="676"/>
      <c r="E8" s="676"/>
      <c r="F8" s="428"/>
      <c r="G8" s="676"/>
      <c r="H8" s="678"/>
      <c r="I8" s="669"/>
      <c r="J8" s="670"/>
      <c r="K8" s="688"/>
      <c r="L8" s="705"/>
      <c r="M8" s="691"/>
      <c r="N8" s="691"/>
      <c r="O8" s="691"/>
      <c r="P8" s="691"/>
      <c r="Q8" s="708"/>
      <c r="R8" s="643" t="s">
        <v>134</v>
      </c>
      <c r="S8" s="644"/>
      <c r="T8" s="644"/>
      <c r="U8" s="472"/>
      <c r="V8" s="348">
        <f>IF(SUM(S94:W94)=0,0,SUM(S94:W94)/Нормы!$G$38)</f>
        <v>0</v>
      </c>
      <c r="W8" s="486" t="s">
        <v>133</v>
      </c>
      <c r="X8" s="644" t="s">
        <v>134</v>
      </c>
      <c r="Y8" s="644"/>
      <c r="Z8" s="644"/>
      <c r="AA8" s="472"/>
      <c r="AB8" s="348">
        <f>IF(SUM(Y94:AC94)=0,0,SUM(Y94:AC94)/Нормы!$G$38)</f>
        <v>0</v>
      </c>
      <c r="AC8" s="486" t="s">
        <v>133</v>
      </c>
      <c r="AD8" s="643" t="s">
        <v>134</v>
      </c>
      <c r="AE8" s="644"/>
      <c r="AF8" s="644"/>
      <c r="AG8" s="472"/>
      <c r="AH8" s="348">
        <f>IF(SUM(AE94:AI94)=0,0,SUM(AE94:AI94)/Нормы!$G$38)</f>
        <v>0</v>
      </c>
      <c r="AI8" s="351" t="s">
        <v>133</v>
      </c>
      <c r="AJ8" s="643" t="s">
        <v>134</v>
      </c>
      <c r="AK8" s="644"/>
      <c r="AL8" s="644"/>
      <c r="AM8" s="472"/>
      <c r="AN8" s="348">
        <f>IF(SUM(AK94:AO94)=0,0,SUM(AK94:AO94)/Нормы!$G$38)</f>
        <v>0</v>
      </c>
      <c r="AO8" s="486" t="s">
        <v>133</v>
      </c>
      <c r="AP8" s="644" t="s">
        <v>134</v>
      </c>
      <c r="AQ8" s="644"/>
      <c r="AR8" s="644"/>
      <c r="AS8" s="472"/>
      <c r="AT8" s="348">
        <f>IF(SUM(AQ94:AU94)=0,0,SUM(AQ94:AU94)/Нормы!$G$38)</f>
        <v>0</v>
      </c>
      <c r="AU8" s="351" t="s">
        <v>133</v>
      </c>
      <c r="AV8" s="643" t="s">
        <v>134</v>
      </c>
      <c r="AW8" s="644"/>
      <c r="AX8" s="644"/>
      <c r="AY8" s="472"/>
      <c r="AZ8" s="348">
        <f>IF(SUM(AW94:BA94)=0,0,SUM(AW94:BA94)/Нормы!$G$38)</f>
        <v>0</v>
      </c>
      <c r="BA8" s="486" t="s">
        <v>133</v>
      </c>
      <c r="BB8" s="643" t="s">
        <v>134</v>
      </c>
      <c r="BC8" s="644"/>
      <c r="BD8" s="644"/>
      <c r="BE8" s="472"/>
      <c r="BF8" s="348">
        <f>IF(SUM(BC94:BG94)=0,0,SUM(BC94:BG94)/Нормы!$G$38)</f>
        <v>0</v>
      </c>
      <c r="BG8" s="351" t="s">
        <v>133</v>
      </c>
      <c r="BH8" s="643" t="s">
        <v>134</v>
      </c>
      <c r="BI8" s="644"/>
      <c r="BJ8" s="644"/>
      <c r="BK8" s="472"/>
      <c r="BL8" s="348">
        <f>IF(SUM(BI94:BM94)=0,0,SUM(BI94:BM94)/Нормы!$G$38)</f>
        <v>4</v>
      </c>
      <c r="BM8" s="486" t="s">
        <v>133</v>
      </c>
      <c r="BN8" s="473"/>
      <c r="BO8" s="644" t="s">
        <v>134</v>
      </c>
      <c r="BP8" s="644"/>
      <c r="BQ8" s="644"/>
      <c r="BR8" s="472"/>
      <c r="BS8" s="472"/>
      <c r="BT8" s="348">
        <v>0</v>
      </c>
      <c r="BU8" s="349" t="s">
        <v>133</v>
      </c>
      <c r="BV8" s="350"/>
      <c r="BW8" s="644" t="s">
        <v>134</v>
      </c>
      <c r="BX8" s="644"/>
      <c r="BY8" s="644"/>
      <c r="BZ8" s="644"/>
      <c r="CA8" s="644"/>
      <c r="CB8" s="348">
        <v>0</v>
      </c>
      <c r="CC8" s="351" t="s">
        <v>133</v>
      </c>
      <c r="CD8" s="674"/>
      <c r="CE8" s="674"/>
    </row>
    <row r="9" spans="1:86" s="336" customFormat="1" ht="126" customHeight="1" x14ac:dyDescent="0.2">
      <c r="A9" s="658"/>
      <c r="B9" s="660"/>
      <c r="C9" s="660"/>
      <c r="D9" s="676"/>
      <c r="E9" s="676"/>
      <c r="F9" s="428" t="s">
        <v>63</v>
      </c>
      <c r="G9" s="676"/>
      <c r="H9" s="678"/>
      <c r="I9" s="489" t="s">
        <v>164</v>
      </c>
      <c r="J9" s="489" t="s">
        <v>228</v>
      </c>
      <c r="K9" s="688"/>
      <c r="L9" s="705"/>
      <c r="M9" s="691"/>
      <c r="N9" s="691"/>
      <c r="O9" s="691"/>
      <c r="P9" s="691"/>
      <c r="Q9" s="709"/>
      <c r="R9" s="455" t="s">
        <v>124</v>
      </c>
      <c r="S9" s="429" t="s">
        <v>531</v>
      </c>
      <c r="T9" s="352" t="s">
        <v>532</v>
      </c>
      <c r="U9" s="352" t="s">
        <v>210</v>
      </c>
      <c r="V9" s="352" t="s">
        <v>267</v>
      </c>
      <c r="W9" s="352" t="s">
        <v>66</v>
      </c>
      <c r="X9" s="354" t="s">
        <v>124</v>
      </c>
      <c r="Y9" s="429" t="s">
        <v>531</v>
      </c>
      <c r="Z9" s="352" t="s">
        <v>532</v>
      </c>
      <c r="AA9" s="352" t="s">
        <v>210</v>
      </c>
      <c r="AB9" s="352" t="s">
        <v>267</v>
      </c>
      <c r="AC9" s="355" t="s">
        <v>66</v>
      </c>
      <c r="AD9" s="455" t="s">
        <v>124</v>
      </c>
      <c r="AE9" s="429" t="s">
        <v>531</v>
      </c>
      <c r="AF9" s="352" t="s">
        <v>532</v>
      </c>
      <c r="AG9" s="352" t="s">
        <v>210</v>
      </c>
      <c r="AH9" s="352" t="s">
        <v>267</v>
      </c>
      <c r="AI9" s="355" t="s">
        <v>66</v>
      </c>
      <c r="AJ9" s="455" t="s">
        <v>124</v>
      </c>
      <c r="AK9" s="429" t="s">
        <v>531</v>
      </c>
      <c r="AL9" s="352" t="s">
        <v>532</v>
      </c>
      <c r="AM9" s="352" t="s">
        <v>210</v>
      </c>
      <c r="AN9" s="352" t="s">
        <v>267</v>
      </c>
      <c r="AO9" s="352" t="s">
        <v>66</v>
      </c>
      <c r="AP9" s="354" t="s">
        <v>124</v>
      </c>
      <c r="AQ9" s="429" t="s">
        <v>531</v>
      </c>
      <c r="AR9" s="352" t="s">
        <v>532</v>
      </c>
      <c r="AS9" s="352" t="s">
        <v>210</v>
      </c>
      <c r="AT9" s="352" t="s">
        <v>267</v>
      </c>
      <c r="AU9" s="355" t="s">
        <v>66</v>
      </c>
      <c r="AV9" s="455" t="s">
        <v>124</v>
      </c>
      <c r="AW9" s="429" t="s">
        <v>531</v>
      </c>
      <c r="AX9" s="352" t="s">
        <v>532</v>
      </c>
      <c r="AY9" s="352" t="s">
        <v>210</v>
      </c>
      <c r="AZ9" s="352" t="s">
        <v>267</v>
      </c>
      <c r="BA9" s="352" t="s">
        <v>66</v>
      </c>
      <c r="BB9" s="455" t="s">
        <v>124</v>
      </c>
      <c r="BC9" s="429" t="s">
        <v>531</v>
      </c>
      <c r="BD9" s="352" t="s">
        <v>532</v>
      </c>
      <c r="BE9" s="352" t="s">
        <v>210</v>
      </c>
      <c r="BF9" s="352" t="s">
        <v>267</v>
      </c>
      <c r="BG9" s="355" t="s">
        <v>66</v>
      </c>
      <c r="BH9" s="455" t="s">
        <v>124</v>
      </c>
      <c r="BI9" s="429" t="s">
        <v>531</v>
      </c>
      <c r="BJ9" s="352" t="s">
        <v>532</v>
      </c>
      <c r="BK9" s="352" t="s">
        <v>210</v>
      </c>
      <c r="BL9" s="352" t="s">
        <v>267</v>
      </c>
      <c r="BM9" s="352" t="s">
        <v>66</v>
      </c>
      <c r="BN9" s="354" t="s">
        <v>124</v>
      </c>
      <c r="BO9" s="352" t="s">
        <v>265</v>
      </c>
      <c r="BP9" s="352" t="s">
        <v>266</v>
      </c>
      <c r="BQ9" s="352" t="s">
        <v>65</v>
      </c>
      <c r="BR9" s="352" t="s">
        <v>210</v>
      </c>
      <c r="BS9" s="352" t="s">
        <v>267</v>
      </c>
      <c r="BT9" s="352" t="s">
        <v>136</v>
      </c>
      <c r="BU9" s="353" t="s">
        <v>66</v>
      </c>
      <c r="BV9" s="354" t="s">
        <v>124</v>
      </c>
      <c r="BW9" s="352" t="s">
        <v>265</v>
      </c>
      <c r="BX9" s="352" t="s">
        <v>266</v>
      </c>
      <c r="BY9" s="352" t="s">
        <v>65</v>
      </c>
      <c r="BZ9" s="352" t="s">
        <v>210</v>
      </c>
      <c r="CA9" s="352" t="s">
        <v>267</v>
      </c>
      <c r="CB9" s="352" t="s">
        <v>136</v>
      </c>
      <c r="CC9" s="355" t="s">
        <v>66</v>
      </c>
      <c r="CD9" s="674"/>
      <c r="CE9" s="674"/>
    </row>
    <row r="10" spans="1:86" s="336" customFormat="1" x14ac:dyDescent="0.2">
      <c r="A10" s="490">
        <v>1</v>
      </c>
      <c r="B10" s="491">
        <v>2</v>
      </c>
      <c r="C10" s="491">
        <v>3</v>
      </c>
      <c r="D10" s="491">
        <v>4</v>
      </c>
      <c r="E10" s="491">
        <v>5</v>
      </c>
      <c r="F10" s="491">
        <v>6</v>
      </c>
      <c r="G10" s="491">
        <v>7</v>
      </c>
      <c r="H10" s="491">
        <v>8</v>
      </c>
      <c r="I10" s="491">
        <v>9</v>
      </c>
      <c r="J10" s="491">
        <v>10</v>
      </c>
      <c r="K10" s="491">
        <v>11</v>
      </c>
      <c r="L10" s="491">
        <v>12</v>
      </c>
      <c r="M10" s="491">
        <v>14</v>
      </c>
      <c r="N10" s="491">
        <v>15</v>
      </c>
      <c r="O10" s="491">
        <v>16</v>
      </c>
      <c r="P10" s="491">
        <v>17</v>
      </c>
      <c r="Q10" s="491">
        <v>19</v>
      </c>
      <c r="R10" s="491">
        <v>21</v>
      </c>
      <c r="S10" s="491">
        <v>23</v>
      </c>
      <c r="T10" s="491">
        <v>24</v>
      </c>
      <c r="U10" s="491">
        <v>25</v>
      </c>
      <c r="V10" s="491">
        <v>26</v>
      </c>
      <c r="W10" s="491">
        <v>28</v>
      </c>
      <c r="X10" s="491">
        <v>30</v>
      </c>
      <c r="Y10" s="491">
        <v>32</v>
      </c>
      <c r="Z10" s="491">
        <v>33</v>
      </c>
      <c r="AA10" s="491">
        <v>34</v>
      </c>
      <c r="AB10" s="491">
        <v>35</v>
      </c>
      <c r="AC10" s="491">
        <v>37</v>
      </c>
      <c r="AD10" s="491">
        <v>39</v>
      </c>
      <c r="AE10" s="491">
        <v>41</v>
      </c>
      <c r="AF10" s="491">
        <v>42</v>
      </c>
      <c r="AG10" s="491">
        <v>43</v>
      </c>
      <c r="AH10" s="491">
        <v>44</v>
      </c>
      <c r="AI10" s="491">
        <v>46</v>
      </c>
      <c r="AJ10" s="491">
        <v>48</v>
      </c>
      <c r="AK10" s="491">
        <v>50</v>
      </c>
      <c r="AL10" s="491">
        <v>51</v>
      </c>
      <c r="AM10" s="491">
        <v>52</v>
      </c>
      <c r="AN10" s="491">
        <v>53</v>
      </c>
      <c r="AO10" s="491">
        <v>55</v>
      </c>
      <c r="AP10" s="491">
        <v>57</v>
      </c>
      <c r="AQ10" s="491">
        <v>59</v>
      </c>
      <c r="AR10" s="491">
        <v>60</v>
      </c>
      <c r="AS10" s="491">
        <v>61</v>
      </c>
      <c r="AT10" s="491">
        <v>62</v>
      </c>
      <c r="AU10" s="491">
        <v>64</v>
      </c>
      <c r="AV10" s="491">
        <v>66</v>
      </c>
      <c r="AW10" s="491">
        <v>68</v>
      </c>
      <c r="AX10" s="491">
        <v>69</v>
      </c>
      <c r="AY10" s="491">
        <v>70</v>
      </c>
      <c r="AZ10" s="491">
        <v>71</v>
      </c>
      <c r="BA10" s="491">
        <v>73</v>
      </c>
      <c r="BB10" s="491">
        <v>75</v>
      </c>
      <c r="BC10" s="491">
        <v>77</v>
      </c>
      <c r="BD10" s="491">
        <v>78</v>
      </c>
      <c r="BE10" s="491">
        <v>79</v>
      </c>
      <c r="BF10" s="491">
        <v>80</v>
      </c>
      <c r="BG10" s="491">
        <v>82</v>
      </c>
      <c r="BH10" s="491">
        <v>84</v>
      </c>
      <c r="BI10" s="491">
        <v>86</v>
      </c>
      <c r="BJ10" s="491">
        <v>87</v>
      </c>
      <c r="BK10" s="491">
        <v>88</v>
      </c>
      <c r="BL10" s="491">
        <v>89</v>
      </c>
      <c r="BM10" s="491">
        <v>91</v>
      </c>
      <c r="BN10" s="491">
        <v>93</v>
      </c>
      <c r="BO10" s="491">
        <v>94</v>
      </c>
      <c r="BP10" s="491">
        <v>95</v>
      </c>
      <c r="BQ10" s="491">
        <v>96</v>
      </c>
      <c r="BR10" s="491">
        <v>97</v>
      </c>
      <c r="BS10" s="491">
        <v>98</v>
      </c>
      <c r="BT10" s="491">
        <v>99</v>
      </c>
      <c r="BU10" s="491">
        <v>100</v>
      </c>
      <c r="BV10" s="491">
        <v>102</v>
      </c>
      <c r="BW10" s="491">
        <v>103</v>
      </c>
      <c r="BX10" s="491">
        <v>104</v>
      </c>
      <c r="BY10" s="491">
        <v>105</v>
      </c>
      <c r="BZ10" s="491">
        <v>106</v>
      </c>
      <c r="CA10" s="491">
        <v>107</v>
      </c>
      <c r="CB10" s="491">
        <v>108</v>
      </c>
      <c r="CC10" s="491">
        <v>109</v>
      </c>
      <c r="CD10" s="491">
        <v>110</v>
      </c>
      <c r="CE10" s="492">
        <v>111</v>
      </c>
    </row>
    <row r="11" spans="1:86" s="475" customFormat="1" ht="26.1" customHeight="1" x14ac:dyDescent="0.2">
      <c r="A11" s="463" t="s">
        <v>563</v>
      </c>
      <c r="B11" s="703" t="s">
        <v>507</v>
      </c>
      <c r="C11" s="703"/>
      <c r="D11" s="703"/>
      <c r="E11" s="703"/>
      <c r="F11" s="703"/>
      <c r="G11" s="703"/>
      <c r="H11" s="703"/>
      <c r="I11" s="272">
        <v>2106</v>
      </c>
      <c r="J11" s="272">
        <v>1404</v>
      </c>
      <c r="K11" s="272">
        <f t="shared" ref="K11:V11" si="0">K12+K24</f>
        <v>2106</v>
      </c>
      <c r="L11" s="272">
        <f t="shared" si="0"/>
        <v>1404</v>
      </c>
      <c r="M11" s="272">
        <f t="shared" si="0"/>
        <v>1198</v>
      </c>
      <c r="N11" s="272">
        <f t="shared" si="0"/>
        <v>206</v>
      </c>
      <c r="O11" s="272">
        <f t="shared" si="0"/>
        <v>0</v>
      </c>
      <c r="P11" s="272">
        <f t="shared" si="0"/>
        <v>0</v>
      </c>
      <c r="Q11" s="272">
        <f t="shared" si="0"/>
        <v>702</v>
      </c>
      <c r="R11" s="272">
        <f t="shared" si="0"/>
        <v>918</v>
      </c>
      <c r="S11" s="272">
        <f t="shared" si="0"/>
        <v>527</v>
      </c>
      <c r="T11" s="272">
        <f t="shared" si="0"/>
        <v>85</v>
      </c>
      <c r="U11" s="272">
        <f t="shared" si="0"/>
        <v>0</v>
      </c>
      <c r="V11" s="272">
        <f t="shared" si="0"/>
        <v>0</v>
      </c>
      <c r="W11" s="272">
        <f t="shared" ref="W11:AB11" si="1">W12+W24</f>
        <v>306</v>
      </c>
      <c r="X11" s="272">
        <f t="shared" si="1"/>
        <v>1188</v>
      </c>
      <c r="Y11" s="272">
        <f t="shared" si="1"/>
        <v>671</v>
      </c>
      <c r="Z11" s="272">
        <f t="shared" si="1"/>
        <v>121</v>
      </c>
      <c r="AA11" s="272">
        <f t="shared" si="1"/>
        <v>0</v>
      </c>
      <c r="AB11" s="272">
        <f t="shared" si="1"/>
        <v>0</v>
      </c>
      <c r="AC11" s="272">
        <f t="shared" ref="AC11:BD11" si="2">AC12+AC24</f>
        <v>396</v>
      </c>
      <c r="AD11" s="272">
        <f t="shared" si="2"/>
        <v>0</v>
      </c>
      <c r="AE11" s="272">
        <f t="shared" si="2"/>
        <v>0</v>
      </c>
      <c r="AF11" s="272">
        <f t="shared" si="2"/>
        <v>0</v>
      </c>
      <c r="AG11" s="272">
        <f t="shared" si="2"/>
        <v>0</v>
      </c>
      <c r="AH11" s="272">
        <f t="shared" si="2"/>
        <v>0</v>
      </c>
      <c r="AI11" s="272">
        <f t="shared" si="2"/>
        <v>0</v>
      </c>
      <c r="AJ11" s="272">
        <f t="shared" si="2"/>
        <v>0</v>
      </c>
      <c r="AK11" s="272">
        <f t="shared" si="2"/>
        <v>0</v>
      </c>
      <c r="AL11" s="272">
        <f t="shared" si="2"/>
        <v>0</v>
      </c>
      <c r="AM11" s="272">
        <f t="shared" si="2"/>
        <v>0</v>
      </c>
      <c r="AN11" s="272">
        <f t="shared" si="2"/>
        <v>0</v>
      </c>
      <c r="AO11" s="272">
        <f t="shared" si="2"/>
        <v>0</v>
      </c>
      <c r="AP11" s="272">
        <f t="shared" si="2"/>
        <v>0</v>
      </c>
      <c r="AQ11" s="272">
        <f t="shared" si="2"/>
        <v>0</v>
      </c>
      <c r="AR11" s="272">
        <f t="shared" si="2"/>
        <v>0</v>
      </c>
      <c r="AS11" s="272">
        <f t="shared" si="2"/>
        <v>0</v>
      </c>
      <c r="AT11" s="272">
        <f t="shared" si="2"/>
        <v>0</v>
      </c>
      <c r="AU11" s="272">
        <f t="shared" si="2"/>
        <v>0</v>
      </c>
      <c r="AV11" s="272">
        <f t="shared" si="2"/>
        <v>0</v>
      </c>
      <c r="AW11" s="272">
        <f t="shared" si="2"/>
        <v>0</v>
      </c>
      <c r="AX11" s="272">
        <f t="shared" si="2"/>
        <v>0</v>
      </c>
      <c r="AY11" s="272">
        <f t="shared" si="2"/>
        <v>0</v>
      </c>
      <c r="AZ11" s="272">
        <f t="shared" si="2"/>
        <v>0</v>
      </c>
      <c r="BA11" s="272">
        <f t="shared" si="2"/>
        <v>0</v>
      </c>
      <c r="BB11" s="272">
        <f t="shared" si="2"/>
        <v>0</v>
      </c>
      <c r="BC11" s="272">
        <f t="shared" si="2"/>
        <v>0</v>
      </c>
      <c r="BD11" s="272">
        <f t="shared" si="2"/>
        <v>0</v>
      </c>
      <c r="BE11" s="272">
        <f t="shared" ref="BE11:CH11" si="3">BE12+BE24</f>
        <v>0</v>
      </c>
      <c r="BF11" s="272">
        <f t="shared" si="3"/>
        <v>0</v>
      </c>
      <c r="BG11" s="272">
        <f t="shared" si="3"/>
        <v>0</v>
      </c>
      <c r="BH11" s="272">
        <f t="shared" si="3"/>
        <v>0</v>
      </c>
      <c r="BI11" s="272">
        <f t="shared" si="3"/>
        <v>0</v>
      </c>
      <c r="BJ11" s="272">
        <f t="shared" si="3"/>
        <v>0</v>
      </c>
      <c r="BK11" s="272">
        <f t="shared" si="3"/>
        <v>0</v>
      </c>
      <c r="BL11" s="272">
        <f t="shared" si="3"/>
        <v>0</v>
      </c>
      <c r="BM11" s="272">
        <f t="shared" si="3"/>
        <v>0</v>
      </c>
      <c r="BN11" s="272">
        <f t="shared" si="3"/>
        <v>0</v>
      </c>
      <c r="BO11" s="272">
        <f t="shared" si="3"/>
        <v>0</v>
      </c>
      <c r="BP11" s="272">
        <f t="shared" si="3"/>
        <v>0</v>
      </c>
      <c r="BQ11" s="272">
        <f t="shared" si="3"/>
        <v>0</v>
      </c>
      <c r="BR11" s="272">
        <f t="shared" si="3"/>
        <v>0</v>
      </c>
      <c r="BS11" s="272">
        <f t="shared" si="3"/>
        <v>0</v>
      </c>
      <c r="BT11" s="272">
        <f t="shared" si="3"/>
        <v>0</v>
      </c>
      <c r="BU11" s="272">
        <f t="shared" si="3"/>
        <v>0</v>
      </c>
      <c r="BV11" s="272">
        <f t="shared" si="3"/>
        <v>0</v>
      </c>
      <c r="BW11" s="272">
        <f t="shared" si="3"/>
        <v>0</v>
      </c>
      <c r="BX11" s="272">
        <f t="shared" si="3"/>
        <v>0</v>
      </c>
      <c r="BY11" s="272">
        <f t="shared" si="3"/>
        <v>0</v>
      </c>
      <c r="BZ11" s="272">
        <f t="shared" si="3"/>
        <v>0</v>
      </c>
      <c r="CA11" s="272">
        <f t="shared" si="3"/>
        <v>0</v>
      </c>
      <c r="CB11" s="272">
        <f t="shared" si="3"/>
        <v>0</v>
      </c>
      <c r="CC11" s="288">
        <f t="shared" si="3"/>
        <v>0</v>
      </c>
      <c r="CD11" s="272">
        <f t="shared" si="3"/>
        <v>0</v>
      </c>
      <c r="CE11" s="272">
        <f t="shared" si="3"/>
        <v>0</v>
      </c>
      <c r="CF11" s="281">
        <f t="shared" si="3"/>
        <v>0</v>
      </c>
      <c r="CG11" s="272">
        <f t="shared" si="3"/>
        <v>0</v>
      </c>
      <c r="CH11" s="288">
        <f t="shared" si="3"/>
        <v>0</v>
      </c>
    </row>
    <row r="12" spans="1:86" s="475" customFormat="1" ht="26.1" customHeight="1" x14ac:dyDescent="0.2">
      <c r="A12" s="464" t="s">
        <v>564</v>
      </c>
      <c r="B12" s="704" t="s">
        <v>543</v>
      </c>
      <c r="C12" s="704"/>
      <c r="D12" s="270"/>
      <c r="E12" s="270"/>
      <c r="F12" s="270"/>
      <c r="G12" s="270"/>
      <c r="H12" s="270"/>
      <c r="I12" s="121" t="s">
        <v>22</v>
      </c>
      <c r="J12" s="121">
        <f t="shared" ref="J12:V12" si="4">SUM(J13:J23)</f>
        <v>910</v>
      </c>
      <c r="K12" s="121">
        <f t="shared" si="4"/>
        <v>1380</v>
      </c>
      <c r="L12" s="121">
        <f t="shared" si="4"/>
        <v>920</v>
      </c>
      <c r="M12" s="121">
        <f t="shared" si="4"/>
        <v>781</v>
      </c>
      <c r="N12" s="121">
        <f t="shared" si="4"/>
        <v>139</v>
      </c>
      <c r="O12" s="121">
        <f t="shared" si="4"/>
        <v>0</v>
      </c>
      <c r="P12" s="121">
        <f t="shared" si="4"/>
        <v>0</v>
      </c>
      <c r="Q12" s="121">
        <f t="shared" si="4"/>
        <v>460</v>
      </c>
      <c r="R12" s="121">
        <f t="shared" si="4"/>
        <v>612</v>
      </c>
      <c r="S12" s="121">
        <f t="shared" si="4"/>
        <v>357</v>
      </c>
      <c r="T12" s="121">
        <f t="shared" si="4"/>
        <v>51</v>
      </c>
      <c r="U12" s="121">
        <f t="shared" si="4"/>
        <v>0</v>
      </c>
      <c r="V12" s="121">
        <f t="shared" si="4"/>
        <v>0</v>
      </c>
      <c r="W12" s="121">
        <f t="shared" ref="W12:AB12" si="5">SUM(W13:W23)</f>
        <v>204</v>
      </c>
      <c r="X12" s="121">
        <f t="shared" si="5"/>
        <v>768</v>
      </c>
      <c r="Y12" s="121">
        <f t="shared" si="5"/>
        <v>424</v>
      </c>
      <c r="Z12" s="121">
        <f t="shared" si="5"/>
        <v>88</v>
      </c>
      <c r="AA12" s="121">
        <f t="shared" si="5"/>
        <v>0</v>
      </c>
      <c r="AB12" s="121">
        <f t="shared" si="5"/>
        <v>0</v>
      </c>
      <c r="AC12" s="121">
        <f t="shared" ref="AC12:BD12" si="6">SUM(AC13:AC23)</f>
        <v>256</v>
      </c>
      <c r="AD12" s="121">
        <f t="shared" si="6"/>
        <v>0</v>
      </c>
      <c r="AE12" s="121">
        <f t="shared" si="6"/>
        <v>0</v>
      </c>
      <c r="AF12" s="121">
        <f t="shared" si="6"/>
        <v>0</v>
      </c>
      <c r="AG12" s="121">
        <f t="shared" si="6"/>
        <v>0</v>
      </c>
      <c r="AH12" s="121">
        <f t="shared" si="6"/>
        <v>0</v>
      </c>
      <c r="AI12" s="121">
        <f t="shared" si="6"/>
        <v>0</v>
      </c>
      <c r="AJ12" s="121">
        <f t="shared" si="6"/>
        <v>0</v>
      </c>
      <c r="AK12" s="121">
        <f t="shared" si="6"/>
        <v>0</v>
      </c>
      <c r="AL12" s="121">
        <f t="shared" si="6"/>
        <v>0</v>
      </c>
      <c r="AM12" s="121">
        <f t="shared" si="6"/>
        <v>0</v>
      </c>
      <c r="AN12" s="121">
        <f t="shared" si="6"/>
        <v>0</v>
      </c>
      <c r="AO12" s="121">
        <f t="shared" si="6"/>
        <v>0</v>
      </c>
      <c r="AP12" s="121">
        <f t="shared" si="6"/>
        <v>0</v>
      </c>
      <c r="AQ12" s="121">
        <f t="shared" si="6"/>
        <v>0</v>
      </c>
      <c r="AR12" s="121">
        <f t="shared" si="6"/>
        <v>0</v>
      </c>
      <c r="AS12" s="121">
        <f t="shared" si="6"/>
        <v>0</v>
      </c>
      <c r="AT12" s="121">
        <f t="shared" si="6"/>
        <v>0</v>
      </c>
      <c r="AU12" s="121">
        <f t="shared" si="6"/>
        <v>0</v>
      </c>
      <c r="AV12" s="121">
        <f t="shared" si="6"/>
        <v>0</v>
      </c>
      <c r="AW12" s="121">
        <f t="shared" si="6"/>
        <v>0</v>
      </c>
      <c r="AX12" s="121">
        <f t="shared" si="6"/>
        <v>0</v>
      </c>
      <c r="AY12" s="121">
        <f t="shared" si="6"/>
        <v>0</v>
      </c>
      <c r="AZ12" s="121">
        <f t="shared" si="6"/>
        <v>0</v>
      </c>
      <c r="BA12" s="121">
        <f t="shared" si="6"/>
        <v>0</v>
      </c>
      <c r="BB12" s="121">
        <f t="shared" si="6"/>
        <v>0</v>
      </c>
      <c r="BC12" s="121">
        <f t="shared" si="6"/>
        <v>0</v>
      </c>
      <c r="BD12" s="121">
        <f t="shared" si="6"/>
        <v>0</v>
      </c>
      <c r="BE12" s="121">
        <f t="shared" ref="BE12:CH12" si="7">SUM(BE13:BE23)</f>
        <v>0</v>
      </c>
      <c r="BF12" s="121">
        <f t="shared" si="7"/>
        <v>0</v>
      </c>
      <c r="BG12" s="121">
        <f t="shared" si="7"/>
        <v>0</v>
      </c>
      <c r="BH12" s="121">
        <f t="shared" si="7"/>
        <v>0</v>
      </c>
      <c r="BI12" s="121">
        <f t="shared" si="7"/>
        <v>0</v>
      </c>
      <c r="BJ12" s="121">
        <f t="shared" si="7"/>
        <v>0</v>
      </c>
      <c r="BK12" s="121">
        <f t="shared" si="7"/>
        <v>0</v>
      </c>
      <c r="BL12" s="121">
        <f t="shared" si="7"/>
        <v>0</v>
      </c>
      <c r="BM12" s="121">
        <f t="shared" si="7"/>
        <v>0</v>
      </c>
      <c r="BN12" s="121">
        <f t="shared" si="7"/>
        <v>0</v>
      </c>
      <c r="BO12" s="121">
        <f t="shared" si="7"/>
        <v>0</v>
      </c>
      <c r="BP12" s="121">
        <f t="shared" si="7"/>
        <v>0</v>
      </c>
      <c r="BQ12" s="121">
        <f t="shared" si="7"/>
        <v>0</v>
      </c>
      <c r="BR12" s="121">
        <f t="shared" si="7"/>
        <v>0</v>
      </c>
      <c r="BS12" s="121">
        <f t="shared" si="7"/>
        <v>0</v>
      </c>
      <c r="BT12" s="121">
        <f t="shared" si="7"/>
        <v>0</v>
      </c>
      <c r="BU12" s="121">
        <f t="shared" si="7"/>
        <v>0</v>
      </c>
      <c r="BV12" s="121">
        <f t="shared" si="7"/>
        <v>0</v>
      </c>
      <c r="BW12" s="121">
        <f t="shared" si="7"/>
        <v>0</v>
      </c>
      <c r="BX12" s="121">
        <f t="shared" si="7"/>
        <v>0</v>
      </c>
      <c r="BY12" s="121">
        <f t="shared" si="7"/>
        <v>0</v>
      </c>
      <c r="BZ12" s="121">
        <f t="shared" si="7"/>
        <v>0</v>
      </c>
      <c r="CA12" s="121">
        <f t="shared" si="7"/>
        <v>0</v>
      </c>
      <c r="CB12" s="121">
        <f t="shared" si="7"/>
        <v>0</v>
      </c>
      <c r="CC12" s="143">
        <f t="shared" si="7"/>
        <v>0</v>
      </c>
      <c r="CD12" s="121">
        <f t="shared" si="7"/>
        <v>0</v>
      </c>
      <c r="CE12" s="121">
        <f t="shared" si="7"/>
        <v>0</v>
      </c>
      <c r="CF12" s="122">
        <f t="shared" si="7"/>
        <v>0</v>
      </c>
      <c r="CG12" s="121">
        <f t="shared" si="7"/>
        <v>0</v>
      </c>
      <c r="CH12" s="143">
        <f t="shared" si="7"/>
        <v>0</v>
      </c>
    </row>
    <row r="13" spans="1:86" s="475" customFormat="1" ht="26.1" customHeight="1" x14ac:dyDescent="0.2">
      <c r="A13" s="421" t="s">
        <v>565</v>
      </c>
      <c r="B13" s="418" t="s">
        <v>538</v>
      </c>
      <c r="C13" s="134"/>
      <c r="D13" s="421" t="s">
        <v>30</v>
      </c>
      <c r="E13" s="135"/>
      <c r="F13" s="135"/>
      <c r="G13" s="135"/>
      <c r="H13" s="421" t="s">
        <v>27</v>
      </c>
      <c r="I13" s="157">
        <v>117</v>
      </c>
      <c r="J13" s="443">
        <v>78</v>
      </c>
      <c r="K13" s="138">
        <f t="shared" ref="K13:K23" si="8">L13+SUM(Q13:Q13)</f>
        <v>117</v>
      </c>
      <c r="L13" s="138">
        <f t="shared" ref="L13:L23" si="9">SUM(M13:P13)</f>
        <v>78</v>
      </c>
      <c r="M13" s="138">
        <f>S13+Y13</f>
        <v>78</v>
      </c>
      <c r="N13" s="138">
        <f t="shared" ref="N13:P13" si="10">T13+Z13</f>
        <v>0</v>
      </c>
      <c r="O13" s="138">
        <f t="shared" si="10"/>
        <v>0</v>
      </c>
      <c r="P13" s="138">
        <f t="shared" si="10"/>
        <v>0</v>
      </c>
      <c r="Q13" s="138">
        <f t="shared" ref="Q13:Q23" si="11">W13+AC13+AI13+AP13+AW13+BD13+BK13+BR13+BZ13+CH13</f>
        <v>39</v>
      </c>
      <c r="R13" s="237">
        <f t="shared" ref="R13:R23" si="12">SUM(S13:V13)+W13</f>
        <v>51</v>
      </c>
      <c r="S13" s="139">
        <v>34</v>
      </c>
      <c r="T13" s="139"/>
      <c r="U13" s="139"/>
      <c r="V13" s="139"/>
      <c r="W13" s="139">
        <v>17</v>
      </c>
      <c r="X13" s="237">
        <f t="shared" ref="X13:X23" si="13">SUM(Y13:AB13)+AC13</f>
        <v>66</v>
      </c>
      <c r="Y13" s="139">
        <v>44</v>
      </c>
      <c r="Z13" s="139"/>
      <c r="AA13" s="139"/>
      <c r="AB13" s="139"/>
      <c r="AC13" s="139">
        <v>22</v>
      </c>
      <c r="AD13" s="237">
        <f>SUM(AE13:AI13)</f>
        <v>0</v>
      </c>
      <c r="AE13" s="139"/>
      <c r="AF13" s="139"/>
      <c r="AG13" s="139"/>
      <c r="AH13" s="139"/>
      <c r="AI13" s="139"/>
      <c r="AJ13" s="237">
        <f t="shared" ref="AJ13:AJ23" si="14">SUM(AK13:AP13)</f>
        <v>0</v>
      </c>
      <c r="AK13" s="139"/>
      <c r="AL13" s="139"/>
      <c r="AM13" s="139"/>
      <c r="AN13" s="139"/>
      <c r="AO13" s="139"/>
      <c r="AP13" s="237">
        <f>SUM(AQ13:AU13)</f>
        <v>0</v>
      </c>
      <c r="AQ13" s="139"/>
      <c r="AR13" s="139"/>
      <c r="AS13" s="139"/>
      <c r="AT13" s="139"/>
      <c r="AU13" s="139"/>
      <c r="AV13" s="237">
        <f>SUM(AW13:BA13)</f>
        <v>0</v>
      </c>
      <c r="AW13" s="139"/>
      <c r="AX13" s="139"/>
      <c r="AY13" s="139"/>
      <c r="AZ13" s="139"/>
      <c r="BA13" s="139"/>
      <c r="BB13" s="237">
        <f>SUM(BC13:BG13)</f>
        <v>0</v>
      </c>
      <c r="BC13" s="139"/>
      <c r="BD13" s="139"/>
      <c r="BE13" s="139"/>
      <c r="BF13" s="139"/>
      <c r="BG13" s="139"/>
      <c r="BH13" s="237">
        <f>SUM(BI13:BM13)</f>
        <v>0</v>
      </c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237">
        <f t="shared" ref="BS13:BS23" si="15">SUM(BT13:BZ13)</f>
        <v>0</v>
      </c>
      <c r="BT13" s="139"/>
      <c r="BU13" s="139"/>
      <c r="BV13" s="139"/>
      <c r="BW13" s="139"/>
      <c r="BX13" s="139"/>
      <c r="BY13" s="139"/>
      <c r="BZ13" s="139"/>
      <c r="CA13" s="237">
        <f>SUM(CB13:CH13)</f>
        <v>0</v>
      </c>
      <c r="CB13" s="139"/>
      <c r="CC13" s="140"/>
      <c r="CD13" s="444" t="s">
        <v>475</v>
      </c>
      <c r="CE13" s="139"/>
      <c r="CF13" s="445"/>
      <c r="CG13" s="139"/>
      <c r="CH13" s="140"/>
    </row>
    <row r="14" spans="1:86" s="475" customFormat="1" ht="26.1" customHeight="1" x14ac:dyDescent="0.2">
      <c r="A14" s="421" t="s">
        <v>566</v>
      </c>
      <c r="B14" s="418" t="s">
        <v>539</v>
      </c>
      <c r="C14" s="134"/>
      <c r="D14" s="446"/>
      <c r="E14" s="421" t="s">
        <v>30</v>
      </c>
      <c r="F14" s="421"/>
      <c r="G14" s="135"/>
      <c r="H14" s="421" t="s">
        <v>27</v>
      </c>
      <c r="I14" s="157">
        <v>175</v>
      </c>
      <c r="J14" s="443">
        <v>117</v>
      </c>
      <c r="K14" s="138">
        <f t="shared" si="8"/>
        <v>183</v>
      </c>
      <c r="L14" s="138">
        <f t="shared" si="9"/>
        <v>122</v>
      </c>
      <c r="M14" s="138">
        <f t="shared" ref="M14:M23" si="16">S14+Y14</f>
        <v>122</v>
      </c>
      <c r="N14" s="138">
        <f t="shared" ref="N14:N23" si="17">T14+Z14</f>
        <v>0</v>
      </c>
      <c r="O14" s="138">
        <f t="shared" ref="O14:O23" si="18">U14+AA14</f>
        <v>0</v>
      </c>
      <c r="P14" s="138">
        <f t="shared" ref="P14:P23" si="19">V14+AB14</f>
        <v>0</v>
      </c>
      <c r="Q14" s="138">
        <f t="shared" si="11"/>
        <v>61</v>
      </c>
      <c r="R14" s="237">
        <f t="shared" si="12"/>
        <v>51</v>
      </c>
      <c r="S14" s="139">
        <v>34</v>
      </c>
      <c r="T14" s="139"/>
      <c r="U14" s="139"/>
      <c r="V14" s="139"/>
      <c r="W14" s="139">
        <v>17</v>
      </c>
      <c r="X14" s="237">
        <f t="shared" si="13"/>
        <v>132</v>
      </c>
      <c r="Y14" s="139">
        <v>88</v>
      </c>
      <c r="Z14" s="139"/>
      <c r="AA14" s="139"/>
      <c r="AB14" s="139"/>
      <c r="AC14" s="139">
        <v>44</v>
      </c>
      <c r="AD14" s="237"/>
      <c r="AE14" s="139"/>
      <c r="AF14" s="139"/>
      <c r="AG14" s="139"/>
      <c r="AH14" s="139"/>
      <c r="AI14" s="139"/>
      <c r="AJ14" s="237"/>
      <c r="AK14" s="139"/>
      <c r="AL14" s="139"/>
      <c r="AM14" s="139"/>
      <c r="AN14" s="139"/>
      <c r="AO14" s="139"/>
      <c r="AP14" s="237"/>
      <c r="AQ14" s="139"/>
      <c r="AR14" s="139"/>
      <c r="AS14" s="139"/>
      <c r="AT14" s="139"/>
      <c r="AU14" s="139"/>
      <c r="AV14" s="237"/>
      <c r="AW14" s="139"/>
      <c r="AX14" s="139"/>
      <c r="AY14" s="139"/>
      <c r="AZ14" s="139"/>
      <c r="BA14" s="139"/>
      <c r="BB14" s="237"/>
      <c r="BC14" s="139"/>
      <c r="BD14" s="139"/>
      <c r="BE14" s="139"/>
      <c r="BF14" s="139"/>
      <c r="BG14" s="139"/>
      <c r="BH14" s="237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237"/>
      <c r="BT14" s="139"/>
      <c r="BU14" s="139"/>
      <c r="BV14" s="139"/>
      <c r="BW14" s="139"/>
      <c r="BX14" s="139"/>
      <c r="BY14" s="139"/>
      <c r="BZ14" s="139"/>
      <c r="CA14" s="237"/>
      <c r="CB14" s="139"/>
      <c r="CC14" s="140"/>
      <c r="CD14" s="444" t="s">
        <v>475</v>
      </c>
      <c r="CE14" s="139"/>
      <c r="CF14" s="445"/>
      <c r="CG14" s="139"/>
      <c r="CH14" s="140"/>
    </row>
    <row r="15" spans="1:86" s="475" customFormat="1" ht="26.1" customHeight="1" x14ac:dyDescent="0.2">
      <c r="A15" s="421" t="s">
        <v>567</v>
      </c>
      <c r="B15" s="144" t="s">
        <v>126</v>
      </c>
      <c r="C15" s="134"/>
      <c r="D15" s="135"/>
      <c r="E15" s="135" t="s">
        <v>30</v>
      </c>
      <c r="F15" s="135"/>
      <c r="G15" s="135"/>
      <c r="H15" s="421" t="s">
        <v>27</v>
      </c>
      <c r="I15" s="157">
        <v>175</v>
      </c>
      <c r="J15" s="139">
        <v>117</v>
      </c>
      <c r="K15" s="138">
        <f t="shared" si="8"/>
        <v>175</v>
      </c>
      <c r="L15" s="138">
        <f t="shared" si="9"/>
        <v>117</v>
      </c>
      <c r="M15" s="138">
        <f t="shared" si="16"/>
        <v>0</v>
      </c>
      <c r="N15" s="138">
        <f t="shared" si="17"/>
        <v>117</v>
      </c>
      <c r="O15" s="138">
        <f t="shared" si="18"/>
        <v>0</v>
      </c>
      <c r="P15" s="138">
        <f t="shared" si="19"/>
        <v>0</v>
      </c>
      <c r="Q15" s="138">
        <f t="shared" si="11"/>
        <v>58</v>
      </c>
      <c r="R15" s="237">
        <f t="shared" si="12"/>
        <v>76</v>
      </c>
      <c r="S15" s="139"/>
      <c r="T15" s="139">
        <v>51</v>
      </c>
      <c r="U15" s="139"/>
      <c r="V15" s="139"/>
      <c r="W15" s="139">
        <v>25</v>
      </c>
      <c r="X15" s="237">
        <f t="shared" si="13"/>
        <v>99</v>
      </c>
      <c r="Y15" s="139"/>
      <c r="Z15" s="139">
        <v>66</v>
      </c>
      <c r="AA15" s="139"/>
      <c r="AB15" s="139"/>
      <c r="AC15" s="139">
        <v>33</v>
      </c>
      <c r="AD15" s="237">
        <f>SUM(AE15:AI15)</f>
        <v>0</v>
      </c>
      <c r="AE15" s="139"/>
      <c r="AF15" s="139"/>
      <c r="AG15" s="139"/>
      <c r="AH15" s="139"/>
      <c r="AI15" s="139"/>
      <c r="AJ15" s="237">
        <f t="shared" si="14"/>
        <v>0</v>
      </c>
      <c r="AK15" s="139"/>
      <c r="AL15" s="139"/>
      <c r="AM15" s="139"/>
      <c r="AN15" s="139"/>
      <c r="AO15" s="139"/>
      <c r="AP15" s="237">
        <f>SUM(AQ15:AU15)</f>
        <v>0</v>
      </c>
      <c r="AQ15" s="139"/>
      <c r="AR15" s="139"/>
      <c r="AS15" s="139"/>
      <c r="AT15" s="139"/>
      <c r="AU15" s="139"/>
      <c r="AV15" s="237">
        <f>SUM(AW15:BA15)</f>
        <v>0</v>
      </c>
      <c r="AW15" s="139"/>
      <c r="AX15" s="139"/>
      <c r="AY15" s="139"/>
      <c r="AZ15" s="139"/>
      <c r="BA15" s="139"/>
      <c r="BB15" s="237">
        <f>SUM(BC15:BG15)</f>
        <v>0</v>
      </c>
      <c r="BC15" s="139"/>
      <c r="BD15" s="139"/>
      <c r="BE15" s="139"/>
      <c r="BF15" s="139"/>
      <c r="BG15" s="139"/>
      <c r="BH15" s="237">
        <f>SUM(BI15:BM15)</f>
        <v>0</v>
      </c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237">
        <f t="shared" si="15"/>
        <v>0</v>
      </c>
      <c r="BT15" s="139"/>
      <c r="BU15" s="139"/>
      <c r="BV15" s="139"/>
      <c r="BW15" s="139"/>
      <c r="BX15" s="139"/>
      <c r="BY15" s="139"/>
      <c r="BZ15" s="139"/>
      <c r="CA15" s="237">
        <f>SUM(CB15:CH15)</f>
        <v>0</v>
      </c>
      <c r="CB15" s="139"/>
      <c r="CC15" s="140"/>
      <c r="CD15" s="444" t="s">
        <v>475</v>
      </c>
      <c r="CE15" s="139"/>
      <c r="CF15" s="445"/>
      <c r="CG15" s="139"/>
      <c r="CH15" s="140"/>
    </row>
    <row r="16" spans="1:86" s="475" customFormat="1" ht="26.1" customHeight="1" x14ac:dyDescent="0.2">
      <c r="A16" s="421" t="s">
        <v>568</v>
      </c>
      <c r="B16" s="418" t="s">
        <v>125</v>
      </c>
      <c r="C16" s="134"/>
      <c r="D16" s="421"/>
      <c r="E16" s="421" t="s">
        <v>30</v>
      </c>
      <c r="F16" s="421"/>
      <c r="G16" s="135"/>
      <c r="H16" s="421" t="s">
        <v>27</v>
      </c>
      <c r="I16" s="157">
        <v>175</v>
      </c>
      <c r="J16" s="139">
        <v>117</v>
      </c>
      <c r="K16" s="138">
        <f t="shared" si="8"/>
        <v>175</v>
      </c>
      <c r="L16" s="138">
        <f t="shared" si="9"/>
        <v>117</v>
      </c>
      <c r="M16" s="138">
        <f t="shared" si="16"/>
        <v>117</v>
      </c>
      <c r="N16" s="138">
        <f t="shared" si="17"/>
        <v>0</v>
      </c>
      <c r="O16" s="138">
        <f t="shared" si="18"/>
        <v>0</v>
      </c>
      <c r="P16" s="138">
        <f t="shared" si="19"/>
        <v>0</v>
      </c>
      <c r="Q16" s="138">
        <f t="shared" si="11"/>
        <v>58</v>
      </c>
      <c r="R16" s="237">
        <f t="shared" si="12"/>
        <v>76</v>
      </c>
      <c r="S16" s="139">
        <v>51</v>
      </c>
      <c r="T16" s="139"/>
      <c r="U16" s="139"/>
      <c r="V16" s="139"/>
      <c r="W16" s="139">
        <v>25</v>
      </c>
      <c r="X16" s="237">
        <f t="shared" si="13"/>
        <v>99</v>
      </c>
      <c r="Y16" s="139">
        <v>66</v>
      </c>
      <c r="Z16" s="139"/>
      <c r="AA16" s="139"/>
      <c r="AB16" s="139"/>
      <c r="AC16" s="139">
        <v>33</v>
      </c>
      <c r="AD16" s="237">
        <f>SUM(AE16:AI16)</f>
        <v>0</v>
      </c>
      <c r="AE16" s="139"/>
      <c r="AF16" s="139"/>
      <c r="AG16" s="139"/>
      <c r="AH16" s="139"/>
      <c r="AI16" s="139"/>
      <c r="AJ16" s="237">
        <f t="shared" si="14"/>
        <v>0</v>
      </c>
      <c r="AK16" s="139"/>
      <c r="AL16" s="139"/>
      <c r="AM16" s="139"/>
      <c r="AN16" s="139"/>
      <c r="AO16" s="139"/>
      <c r="AP16" s="237">
        <f>SUM(AQ16:AU16)</f>
        <v>0</v>
      </c>
      <c r="AQ16" s="139"/>
      <c r="AR16" s="139"/>
      <c r="AS16" s="139"/>
      <c r="AT16" s="139"/>
      <c r="AU16" s="139"/>
      <c r="AV16" s="237">
        <f>SUM(AW16:BA16)</f>
        <v>0</v>
      </c>
      <c r="AW16" s="139"/>
      <c r="AX16" s="139"/>
      <c r="AY16" s="139"/>
      <c r="AZ16" s="139"/>
      <c r="BA16" s="139"/>
      <c r="BB16" s="237">
        <f>SUM(BC16:BG16)</f>
        <v>0</v>
      </c>
      <c r="BC16" s="139"/>
      <c r="BD16" s="139"/>
      <c r="BE16" s="139"/>
      <c r="BF16" s="139"/>
      <c r="BG16" s="139"/>
      <c r="BH16" s="237">
        <f>SUM(BI16:BM16)</f>
        <v>0</v>
      </c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237">
        <f t="shared" si="15"/>
        <v>0</v>
      </c>
      <c r="BT16" s="139"/>
      <c r="BU16" s="139"/>
      <c r="BV16" s="139"/>
      <c r="BW16" s="139"/>
      <c r="BX16" s="139"/>
      <c r="BY16" s="139"/>
      <c r="BZ16" s="139"/>
      <c r="CA16" s="237">
        <f>SUM(CB16:CH16)</f>
        <v>0</v>
      </c>
      <c r="CB16" s="139"/>
      <c r="CC16" s="140"/>
      <c r="CD16" s="444" t="s">
        <v>475</v>
      </c>
      <c r="CE16" s="139"/>
      <c r="CF16" s="445"/>
      <c r="CG16" s="139"/>
      <c r="CH16" s="140"/>
    </row>
    <row r="17" spans="1:87" s="475" customFormat="1" ht="26.1" customHeight="1" x14ac:dyDescent="0.2">
      <c r="A17" s="421" t="s">
        <v>569</v>
      </c>
      <c r="B17" s="144" t="s">
        <v>7</v>
      </c>
      <c r="C17" s="134"/>
      <c r="D17" s="135"/>
      <c r="E17" s="421" t="s">
        <v>249</v>
      </c>
      <c r="F17" s="421"/>
      <c r="G17" s="135"/>
      <c r="H17" s="135"/>
      <c r="I17" s="157">
        <v>175</v>
      </c>
      <c r="J17" s="139">
        <v>117</v>
      </c>
      <c r="K17" s="138">
        <f t="shared" si="8"/>
        <v>176</v>
      </c>
      <c r="L17" s="138">
        <f t="shared" si="9"/>
        <v>117</v>
      </c>
      <c r="M17" s="138">
        <f t="shared" si="16"/>
        <v>117</v>
      </c>
      <c r="N17" s="138">
        <f t="shared" si="17"/>
        <v>0</v>
      </c>
      <c r="O17" s="138">
        <f t="shared" si="18"/>
        <v>0</v>
      </c>
      <c r="P17" s="138">
        <f t="shared" si="19"/>
        <v>0</v>
      </c>
      <c r="Q17" s="138">
        <f t="shared" si="11"/>
        <v>59</v>
      </c>
      <c r="R17" s="237">
        <f t="shared" si="12"/>
        <v>77</v>
      </c>
      <c r="S17" s="139">
        <v>51</v>
      </c>
      <c r="T17" s="139"/>
      <c r="U17" s="139"/>
      <c r="V17" s="139"/>
      <c r="W17" s="139">
        <v>26</v>
      </c>
      <c r="X17" s="237">
        <f t="shared" si="13"/>
        <v>99</v>
      </c>
      <c r="Y17" s="139">
        <v>66</v>
      </c>
      <c r="Z17" s="139"/>
      <c r="AA17" s="139"/>
      <c r="AB17" s="139"/>
      <c r="AC17" s="139">
        <v>33</v>
      </c>
      <c r="AD17" s="237">
        <f>SUM(AE17:AI17)</f>
        <v>0</v>
      </c>
      <c r="AE17" s="139"/>
      <c r="AF17" s="139"/>
      <c r="AG17" s="139"/>
      <c r="AH17" s="139"/>
      <c r="AI17" s="139"/>
      <c r="AJ17" s="237">
        <f t="shared" si="14"/>
        <v>0</v>
      </c>
      <c r="AK17" s="139"/>
      <c r="AL17" s="139"/>
      <c r="AM17" s="139"/>
      <c r="AN17" s="139"/>
      <c r="AO17" s="139"/>
      <c r="AP17" s="237">
        <f>SUM(AQ17:AU17)</f>
        <v>0</v>
      </c>
      <c r="AQ17" s="139"/>
      <c r="AR17" s="139"/>
      <c r="AS17" s="139"/>
      <c r="AT17" s="139"/>
      <c r="AU17" s="139"/>
      <c r="AV17" s="237">
        <f>SUM(AW17:BA17)</f>
        <v>0</v>
      </c>
      <c r="AW17" s="139"/>
      <c r="AX17" s="139"/>
      <c r="AY17" s="139"/>
      <c r="AZ17" s="139"/>
      <c r="BA17" s="139"/>
      <c r="BB17" s="237">
        <f>SUM(BC17:BG17)</f>
        <v>0</v>
      </c>
      <c r="BC17" s="139"/>
      <c r="BD17" s="139"/>
      <c r="BE17" s="139"/>
      <c r="BF17" s="139"/>
      <c r="BG17" s="139"/>
      <c r="BH17" s="237">
        <f>SUM(BI17:BM17)</f>
        <v>0</v>
      </c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237">
        <f t="shared" si="15"/>
        <v>0</v>
      </c>
      <c r="BT17" s="139"/>
      <c r="BU17" s="139"/>
      <c r="BV17" s="139"/>
      <c r="BW17" s="139"/>
      <c r="BX17" s="139"/>
      <c r="BY17" s="139"/>
      <c r="BZ17" s="139"/>
      <c r="CA17" s="237">
        <f>SUM(CB17:CH17)</f>
        <v>0</v>
      </c>
      <c r="CB17" s="139"/>
      <c r="CC17" s="140"/>
      <c r="CD17" s="444" t="s">
        <v>477</v>
      </c>
      <c r="CE17" s="139"/>
      <c r="CF17" s="445"/>
      <c r="CG17" s="139"/>
      <c r="CH17" s="140"/>
    </row>
    <row r="18" spans="1:87" s="475" customFormat="1" ht="26.1" customHeight="1" x14ac:dyDescent="0.2">
      <c r="A18" s="421" t="s">
        <v>570</v>
      </c>
      <c r="B18" s="144" t="s">
        <v>463</v>
      </c>
      <c r="C18" s="134"/>
      <c r="D18" s="135"/>
      <c r="E18" s="135" t="s">
        <v>30</v>
      </c>
      <c r="F18" s="135"/>
      <c r="G18" s="135"/>
      <c r="H18" s="421" t="s">
        <v>27</v>
      </c>
      <c r="I18" s="157">
        <v>105</v>
      </c>
      <c r="J18" s="139">
        <v>70</v>
      </c>
      <c r="K18" s="138">
        <f t="shared" si="8"/>
        <v>105</v>
      </c>
      <c r="L18" s="138">
        <f t="shared" si="9"/>
        <v>70</v>
      </c>
      <c r="M18" s="138">
        <f t="shared" si="16"/>
        <v>70</v>
      </c>
      <c r="N18" s="138">
        <f t="shared" si="17"/>
        <v>0</v>
      </c>
      <c r="O18" s="138">
        <f t="shared" si="18"/>
        <v>0</v>
      </c>
      <c r="P18" s="138">
        <f t="shared" si="19"/>
        <v>0</v>
      </c>
      <c r="Q18" s="138">
        <f t="shared" si="11"/>
        <v>35</v>
      </c>
      <c r="R18" s="237">
        <f t="shared" si="12"/>
        <v>51</v>
      </c>
      <c r="S18" s="139">
        <v>34</v>
      </c>
      <c r="T18" s="139"/>
      <c r="U18" s="139"/>
      <c r="V18" s="139"/>
      <c r="W18" s="139">
        <v>17</v>
      </c>
      <c r="X18" s="237">
        <f t="shared" si="13"/>
        <v>54</v>
      </c>
      <c r="Y18" s="139">
        <v>36</v>
      </c>
      <c r="Z18" s="139"/>
      <c r="AA18" s="139"/>
      <c r="AB18" s="139"/>
      <c r="AC18" s="139">
        <v>18</v>
      </c>
      <c r="AD18" s="237">
        <f>SUM(AE18:AI18)</f>
        <v>0</v>
      </c>
      <c r="AE18" s="139"/>
      <c r="AF18" s="139"/>
      <c r="AG18" s="139"/>
      <c r="AH18" s="139"/>
      <c r="AI18" s="139"/>
      <c r="AJ18" s="237">
        <f t="shared" ref="AJ18" si="20">SUM(AK18:AP18)</f>
        <v>0</v>
      </c>
      <c r="AK18" s="139"/>
      <c r="AL18" s="139"/>
      <c r="AM18" s="139"/>
      <c r="AN18" s="139"/>
      <c r="AO18" s="139"/>
      <c r="AP18" s="237">
        <f>SUM(AQ18:AU18)</f>
        <v>0</v>
      </c>
      <c r="AQ18" s="139"/>
      <c r="AR18" s="139"/>
      <c r="AS18" s="139"/>
      <c r="AT18" s="139"/>
      <c r="AU18" s="139"/>
      <c r="AV18" s="237">
        <f>SUM(AW18:BA18)</f>
        <v>0</v>
      </c>
      <c r="AW18" s="139"/>
      <c r="AX18" s="139"/>
      <c r="AY18" s="139"/>
      <c r="AZ18" s="139"/>
      <c r="BA18" s="139"/>
      <c r="BB18" s="237">
        <f>SUM(BC18:BG18)</f>
        <v>0</v>
      </c>
      <c r="BC18" s="139"/>
      <c r="BD18" s="139"/>
      <c r="BE18" s="139"/>
      <c r="BF18" s="139"/>
      <c r="BG18" s="139"/>
      <c r="BH18" s="237">
        <f>SUM(BI18:BM18)</f>
        <v>0</v>
      </c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237">
        <f t="shared" ref="BS18" si="21">SUM(BT18:BZ18)</f>
        <v>0</v>
      </c>
      <c r="BT18" s="139"/>
      <c r="BU18" s="139"/>
      <c r="BV18" s="139"/>
      <c r="BW18" s="139"/>
      <c r="BX18" s="139"/>
      <c r="BY18" s="139"/>
      <c r="BZ18" s="139"/>
      <c r="CA18" s="237">
        <f>SUM(CB18:CH18)</f>
        <v>0</v>
      </c>
      <c r="CB18" s="139"/>
      <c r="CC18" s="140"/>
      <c r="CD18" s="444" t="s">
        <v>476</v>
      </c>
      <c r="CE18" s="139"/>
      <c r="CF18" s="445"/>
      <c r="CG18" s="139"/>
      <c r="CH18" s="140"/>
    </row>
    <row r="19" spans="1:87" s="475" customFormat="1" ht="26.1" customHeight="1" x14ac:dyDescent="0.2">
      <c r="A19" s="421" t="s">
        <v>571</v>
      </c>
      <c r="B19" s="418" t="s">
        <v>540</v>
      </c>
      <c r="C19" s="134"/>
      <c r="D19" s="135"/>
      <c r="E19" s="421" t="s">
        <v>30</v>
      </c>
      <c r="F19" s="421"/>
      <c r="G19" s="135"/>
      <c r="H19" s="135"/>
      <c r="I19" s="157"/>
      <c r="J19" s="139">
        <v>36</v>
      </c>
      <c r="K19" s="138">
        <f t="shared" si="8"/>
        <v>54</v>
      </c>
      <c r="L19" s="138">
        <f t="shared" si="9"/>
        <v>36</v>
      </c>
      <c r="M19" s="138">
        <f t="shared" si="16"/>
        <v>36</v>
      </c>
      <c r="N19" s="138">
        <f t="shared" si="17"/>
        <v>0</v>
      </c>
      <c r="O19" s="138">
        <f t="shared" si="18"/>
        <v>0</v>
      </c>
      <c r="P19" s="138">
        <f t="shared" si="19"/>
        <v>0</v>
      </c>
      <c r="Q19" s="138">
        <f t="shared" si="11"/>
        <v>18</v>
      </c>
      <c r="R19" s="237">
        <f t="shared" si="12"/>
        <v>0</v>
      </c>
      <c r="S19" s="139"/>
      <c r="T19" s="139"/>
      <c r="U19" s="139"/>
      <c r="V19" s="139"/>
      <c r="W19" s="139"/>
      <c r="X19" s="237">
        <f t="shared" si="13"/>
        <v>54</v>
      </c>
      <c r="Y19" s="139">
        <v>36</v>
      </c>
      <c r="Z19" s="139"/>
      <c r="AA19" s="139"/>
      <c r="AB19" s="139"/>
      <c r="AC19" s="139">
        <v>18</v>
      </c>
      <c r="AD19" s="237"/>
      <c r="AE19" s="139"/>
      <c r="AF19" s="139"/>
      <c r="AG19" s="139"/>
      <c r="AH19" s="139"/>
      <c r="AI19" s="139"/>
      <c r="AJ19" s="237"/>
      <c r="AK19" s="139"/>
      <c r="AL19" s="139"/>
      <c r="AM19" s="139"/>
      <c r="AN19" s="139"/>
      <c r="AO19" s="139"/>
      <c r="AP19" s="237"/>
      <c r="AQ19" s="139"/>
      <c r="AR19" s="139"/>
      <c r="AS19" s="139"/>
      <c r="AT19" s="139"/>
      <c r="AU19" s="139"/>
      <c r="AV19" s="237"/>
      <c r="AW19" s="139"/>
      <c r="AX19" s="139"/>
      <c r="AY19" s="139"/>
      <c r="AZ19" s="139"/>
      <c r="BA19" s="139"/>
      <c r="BB19" s="237"/>
      <c r="BC19" s="139"/>
      <c r="BD19" s="139"/>
      <c r="BE19" s="139"/>
      <c r="BF19" s="139"/>
      <c r="BG19" s="139"/>
      <c r="BH19" s="237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237"/>
      <c r="BT19" s="139"/>
      <c r="BU19" s="139"/>
      <c r="BV19" s="139"/>
      <c r="BW19" s="139"/>
      <c r="BX19" s="139"/>
      <c r="BY19" s="139"/>
      <c r="BZ19" s="139"/>
      <c r="CA19" s="237"/>
      <c r="CB19" s="139"/>
      <c r="CC19" s="140"/>
      <c r="CD19" s="444" t="s">
        <v>476</v>
      </c>
      <c r="CE19" s="139"/>
      <c r="CF19" s="447"/>
      <c r="CG19" s="157"/>
      <c r="CH19" s="328"/>
      <c r="CI19" s="476"/>
    </row>
    <row r="20" spans="1:87" s="475" customFormat="1" ht="26.1" customHeight="1" x14ac:dyDescent="0.2">
      <c r="A20" s="421" t="s">
        <v>572</v>
      </c>
      <c r="B20" s="418" t="s">
        <v>170</v>
      </c>
      <c r="C20" s="134"/>
      <c r="D20" s="135"/>
      <c r="E20" s="135" t="s">
        <v>30</v>
      </c>
      <c r="F20" s="135"/>
      <c r="G20" s="135"/>
      <c r="H20" s="421" t="s">
        <v>27</v>
      </c>
      <c r="I20" s="157">
        <v>117</v>
      </c>
      <c r="J20" s="139">
        <v>78</v>
      </c>
      <c r="K20" s="138">
        <f t="shared" si="8"/>
        <v>117</v>
      </c>
      <c r="L20" s="138">
        <f t="shared" si="9"/>
        <v>78</v>
      </c>
      <c r="M20" s="138">
        <f t="shared" si="16"/>
        <v>56</v>
      </c>
      <c r="N20" s="138">
        <f t="shared" si="17"/>
        <v>22</v>
      </c>
      <c r="O20" s="138">
        <f t="shared" si="18"/>
        <v>0</v>
      </c>
      <c r="P20" s="138">
        <f t="shared" si="19"/>
        <v>0</v>
      </c>
      <c r="Q20" s="138">
        <f t="shared" si="11"/>
        <v>39</v>
      </c>
      <c r="R20" s="237">
        <f t="shared" si="12"/>
        <v>51</v>
      </c>
      <c r="S20" s="139">
        <v>34</v>
      </c>
      <c r="T20" s="139"/>
      <c r="U20" s="139"/>
      <c r="V20" s="139"/>
      <c r="W20" s="139">
        <v>17</v>
      </c>
      <c r="X20" s="237">
        <f t="shared" si="13"/>
        <v>66</v>
      </c>
      <c r="Y20" s="139">
        <v>22</v>
      </c>
      <c r="Z20" s="139">
        <v>22</v>
      </c>
      <c r="AA20" s="139"/>
      <c r="AB20" s="139"/>
      <c r="AC20" s="139">
        <v>22</v>
      </c>
      <c r="AD20" s="237">
        <f>SUM(AE20:AI20)</f>
        <v>0</v>
      </c>
      <c r="AE20" s="139"/>
      <c r="AF20" s="139"/>
      <c r="AG20" s="139"/>
      <c r="AH20" s="139"/>
      <c r="AI20" s="139"/>
      <c r="AJ20" s="237">
        <f t="shared" ref="AJ20:AJ21" si="22">SUM(AK20:AP20)</f>
        <v>0</v>
      </c>
      <c r="AK20" s="139"/>
      <c r="AL20" s="139"/>
      <c r="AM20" s="139"/>
      <c r="AN20" s="139"/>
      <c r="AO20" s="139"/>
      <c r="AP20" s="237">
        <f>SUM(AQ20:AU20)</f>
        <v>0</v>
      </c>
      <c r="AQ20" s="139"/>
      <c r="AR20" s="139"/>
      <c r="AS20" s="139"/>
      <c r="AT20" s="139"/>
      <c r="AU20" s="139"/>
      <c r="AV20" s="237">
        <f>SUM(AW20:BA20)</f>
        <v>0</v>
      </c>
      <c r="AW20" s="139"/>
      <c r="AX20" s="139"/>
      <c r="AY20" s="139"/>
      <c r="AZ20" s="139"/>
      <c r="BA20" s="139"/>
      <c r="BB20" s="237">
        <f>SUM(BC20:BG20)</f>
        <v>0</v>
      </c>
      <c r="BC20" s="139"/>
      <c r="BD20" s="139"/>
      <c r="BE20" s="139"/>
      <c r="BF20" s="139"/>
      <c r="BG20" s="139"/>
      <c r="BH20" s="237">
        <f>SUM(BI20:BM20)</f>
        <v>0</v>
      </c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237">
        <f t="shared" ref="BS20:BS21" si="23">SUM(BT20:BZ20)</f>
        <v>0</v>
      </c>
      <c r="BT20" s="139"/>
      <c r="BU20" s="139"/>
      <c r="BV20" s="139"/>
      <c r="BW20" s="139"/>
      <c r="BX20" s="139"/>
      <c r="BY20" s="139"/>
      <c r="BZ20" s="139"/>
      <c r="CA20" s="237">
        <f>SUM(CB20:CH20)</f>
        <v>0</v>
      </c>
      <c r="CB20" s="139"/>
      <c r="CC20" s="140"/>
      <c r="CD20" s="444" t="s">
        <v>476</v>
      </c>
      <c r="CE20" s="139"/>
      <c r="CF20" s="447"/>
      <c r="CG20" s="157"/>
      <c r="CH20" s="328"/>
      <c r="CI20" s="476"/>
    </row>
    <row r="21" spans="1:87" s="475" customFormat="1" ht="26.1" customHeight="1" x14ac:dyDescent="0.2">
      <c r="A21" s="421" t="s">
        <v>573</v>
      </c>
      <c r="B21" s="418" t="s">
        <v>544</v>
      </c>
      <c r="C21" s="134"/>
      <c r="D21" s="135"/>
      <c r="E21" s="135" t="s">
        <v>30</v>
      </c>
      <c r="F21" s="135"/>
      <c r="G21" s="135"/>
      <c r="H21" s="421" t="s">
        <v>27</v>
      </c>
      <c r="I21" s="157">
        <v>162</v>
      </c>
      <c r="J21" s="139">
        <v>108</v>
      </c>
      <c r="K21" s="138">
        <f t="shared" si="8"/>
        <v>170</v>
      </c>
      <c r="L21" s="138">
        <f t="shared" si="9"/>
        <v>113</v>
      </c>
      <c r="M21" s="138">
        <f t="shared" si="16"/>
        <v>113</v>
      </c>
      <c r="N21" s="138">
        <f t="shared" si="17"/>
        <v>0</v>
      </c>
      <c r="O21" s="138">
        <f t="shared" si="18"/>
        <v>0</v>
      </c>
      <c r="P21" s="138">
        <f t="shared" si="19"/>
        <v>0</v>
      </c>
      <c r="Q21" s="138">
        <f t="shared" si="11"/>
        <v>57</v>
      </c>
      <c r="R21" s="237">
        <f t="shared" si="12"/>
        <v>71</v>
      </c>
      <c r="S21" s="139">
        <v>47</v>
      </c>
      <c r="T21" s="139"/>
      <c r="U21" s="139"/>
      <c r="V21" s="139"/>
      <c r="W21" s="139">
        <v>24</v>
      </c>
      <c r="X21" s="237">
        <f t="shared" si="13"/>
        <v>99</v>
      </c>
      <c r="Y21" s="139">
        <v>66</v>
      </c>
      <c r="Z21" s="139"/>
      <c r="AA21" s="139"/>
      <c r="AB21" s="139"/>
      <c r="AC21" s="139">
        <v>33</v>
      </c>
      <c r="AD21" s="237">
        <f>SUM(AE21:AI21)</f>
        <v>0</v>
      </c>
      <c r="AE21" s="139"/>
      <c r="AF21" s="139"/>
      <c r="AG21" s="139"/>
      <c r="AH21" s="139"/>
      <c r="AI21" s="139"/>
      <c r="AJ21" s="237">
        <f t="shared" si="22"/>
        <v>0</v>
      </c>
      <c r="AK21" s="139"/>
      <c r="AL21" s="139"/>
      <c r="AM21" s="139"/>
      <c r="AN21" s="139"/>
      <c r="AO21" s="139"/>
      <c r="AP21" s="237">
        <f>SUM(AQ21:AU21)</f>
        <v>0</v>
      </c>
      <c r="AQ21" s="139"/>
      <c r="AR21" s="139"/>
      <c r="AS21" s="139"/>
      <c r="AT21" s="139"/>
      <c r="AU21" s="139"/>
      <c r="AV21" s="237">
        <f>SUM(AW21:BA21)</f>
        <v>0</v>
      </c>
      <c r="AW21" s="139"/>
      <c r="AX21" s="139"/>
      <c r="AY21" s="139"/>
      <c r="AZ21" s="139"/>
      <c r="BA21" s="139"/>
      <c r="BB21" s="237">
        <f>SUM(BC21:BG21)</f>
        <v>0</v>
      </c>
      <c r="BC21" s="139"/>
      <c r="BD21" s="139"/>
      <c r="BE21" s="139"/>
      <c r="BF21" s="139"/>
      <c r="BG21" s="139"/>
      <c r="BH21" s="237">
        <f>SUM(BI21:BM21)</f>
        <v>0</v>
      </c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237">
        <f t="shared" si="23"/>
        <v>0</v>
      </c>
      <c r="BT21" s="139"/>
      <c r="BU21" s="139"/>
      <c r="BV21" s="139"/>
      <c r="BW21" s="139"/>
      <c r="BX21" s="139"/>
      <c r="BY21" s="139"/>
      <c r="BZ21" s="139"/>
      <c r="CA21" s="237">
        <f>SUM(CB21:CH21)</f>
        <v>0</v>
      </c>
      <c r="CB21" s="139"/>
      <c r="CC21" s="140"/>
      <c r="CD21" s="444" t="s">
        <v>475</v>
      </c>
      <c r="CE21" s="139"/>
      <c r="CF21" s="447"/>
      <c r="CG21" s="157"/>
      <c r="CH21" s="328"/>
      <c r="CI21" s="476"/>
    </row>
    <row r="22" spans="1:87" s="475" customFormat="1" ht="26.1" customHeight="1" x14ac:dyDescent="0.2">
      <c r="A22" s="421" t="s">
        <v>574</v>
      </c>
      <c r="B22" s="144" t="s">
        <v>171</v>
      </c>
      <c r="C22" s="134"/>
      <c r="D22" s="135"/>
      <c r="E22" s="421" t="s">
        <v>27</v>
      </c>
      <c r="F22" s="421"/>
      <c r="G22" s="135"/>
      <c r="H22" s="135"/>
      <c r="I22" s="157">
        <v>54</v>
      </c>
      <c r="J22" s="139">
        <v>36</v>
      </c>
      <c r="K22" s="138">
        <f t="shared" si="8"/>
        <v>54</v>
      </c>
      <c r="L22" s="138">
        <f>SUM(M22:P22)</f>
        <v>36</v>
      </c>
      <c r="M22" s="138">
        <f t="shared" si="16"/>
        <v>36</v>
      </c>
      <c r="N22" s="138">
        <f t="shared" si="17"/>
        <v>0</v>
      </c>
      <c r="O22" s="138">
        <f t="shared" si="18"/>
        <v>0</v>
      </c>
      <c r="P22" s="138">
        <f t="shared" si="19"/>
        <v>0</v>
      </c>
      <c r="Q22" s="138">
        <f t="shared" si="11"/>
        <v>18</v>
      </c>
      <c r="R22" s="237">
        <f t="shared" si="12"/>
        <v>54</v>
      </c>
      <c r="S22" s="139">
        <v>36</v>
      </c>
      <c r="T22" s="139"/>
      <c r="U22" s="139"/>
      <c r="V22" s="139"/>
      <c r="W22" s="139">
        <v>18</v>
      </c>
      <c r="X22" s="237">
        <f t="shared" si="13"/>
        <v>0</v>
      </c>
      <c r="Y22" s="471"/>
      <c r="Z22" s="139"/>
      <c r="AA22" s="139"/>
      <c r="AB22" s="139"/>
      <c r="AC22" s="139"/>
      <c r="AD22" s="237">
        <f>SUM(AE22:AI22)</f>
        <v>0</v>
      </c>
      <c r="AE22" s="139"/>
      <c r="AF22" s="139"/>
      <c r="AG22" s="139"/>
      <c r="AH22" s="139"/>
      <c r="AI22" s="139"/>
      <c r="AJ22" s="237">
        <f t="shared" ref="AJ22" si="24">SUM(AK22:AP22)</f>
        <v>0</v>
      </c>
      <c r="AK22" s="139"/>
      <c r="AL22" s="139"/>
      <c r="AM22" s="139"/>
      <c r="AN22" s="139"/>
      <c r="AO22" s="139"/>
      <c r="AP22" s="237">
        <f>SUM(AQ22:AU22)</f>
        <v>0</v>
      </c>
      <c r="AQ22" s="139"/>
      <c r="AR22" s="139"/>
      <c r="AS22" s="139"/>
      <c r="AT22" s="139"/>
      <c r="AU22" s="139"/>
      <c r="AV22" s="237">
        <f>SUM(AW22:BA22)</f>
        <v>0</v>
      </c>
      <c r="AW22" s="139"/>
      <c r="AX22" s="139"/>
      <c r="AY22" s="139"/>
      <c r="AZ22" s="139"/>
      <c r="BA22" s="139"/>
      <c r="BB22" s="237">
        <f>SUM(BC22:BG22)</f>
        <v>0</v>
      </c>
      <c r="BC22" s="139"/>
      <c r="BD22" s="139"/>
      <c r="BE22" s="139"/>
      <c r="BF22" s="139"/>
      <c r="BG22" s="139"/>
      <c r="BH22" s="237">
        <f>SUM(BI22:BM22)</f>
        <v>0</v>
      </c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237">
        <f t="shared" ref="BS22" si="25">SUM(BT22:BZ22)</f>
        <v>0</v>
      </c>
      <c r="BT22" s="139"/>
      <c r="BU22" s="139"/>
      <c r="BV22" s="139"/>
      <c r="BW22" s="139"/>
      <c r="BX22" s="139"/>
      <c r="BY22" s="139"/>
      <c r="BZ22" s="139"/>
      <c r="CA22" s="237">
        <f>SUM(CB22:CH22)</f>
        <v>0</v>
      </c>
      <c r="CB22" s="139"/>
      <c r="CC22" s="140"/>
      <c r="CD22" s="444" t="s">
        <v>475</v>
      </c>
      <c r="CE22" s="139"/>
      <c r="CF22" s="447"/>
      <c r="CG22" s="157"/>
      <c r="CH22" s="328"/>
      <c r="CI22" s="476"/>
    </row>
    <row r="23" spans="1:87" s="475" customFormat="1" ht="26.1" customHeight="1" x14ac:dyDescent="0.2">
      <c r="A23" s="421" t="s">
        <v>575</v>
      </c>
      <c r="B23" s="418" t="s">
        <v>324</v>
      </c>
      <c r="C23" s="134"/>
      <c r="D23" s="135"/>
      <c r="E23" s="421" t="s">
        <v>27</v>
      </c>
      <c r="F23" s="135"/>
      <c r="G23" s="135"/>
      <c r="H23" s="421"/>
      <c r="I23" s="157"/>
      <c r="J23" s="139">
        <v>36</v>
      </c>
      <c r="K23" s="138">
        <f t="shared" si="8"/>
        <v>54</v>
      </c>
      <c r="L23" s="138">
        <f t="shared" si="9"/>
        <v>36</v>
      </c>
      <c r="M23" s="138">
        <f t="shared" si="16"/>
        <v>36</v>
      </c>
      <c r="N23" s="138">
        <f t="shared" si="17"/>
        <v>0</v>
      </c>
      <c r="O23" s="138">
        <f t="shared" si="18"/>
        <v>0</v>
      </c>
      <c r="P23" s="138">
        <f t="shared" si="19"/>
        <v>0</v>
      </c>
      <c r="Q23" s="138">
        <f t="shared" si="11"/>
        <v>18</v>
      </c>
      <c r="R23" s="237">
        <f t="shared" si="12"/>
        <v>54</v>
      </c>
      <c r="S23" s="139">
        <v>36</v>
      </c>
      <c r="T23" s="139"/>
      <c r="U23" s="139"/>
      <c r="V23" s="139"/>
      <c r="W23" s="139">
        <v>18</v>
      </c>
      <c r="X23" s="237">
        <f t="shared" si="13"/>
        <v>0</v>
      </c>
      <c r="Y23" s="471"/>
      <c r="Z23" s="139"/>
      <c r="AA23" s="139"/>
      <c r="AB23" s="139"/>
      <c r="AC23" s="139"/>
      <c r="AD23" s="237">
        <f>SUM(AE23:AI23)</f>
        <v>0</v>
      </c>
      <c r="AE23" s="139"/>
      <c r="AF23" s="139"/>
      <c r="AG23" s="139"/>
      <c r="AH23" s="139"/>
      <c r="AI23" s="139"/>
      <c r="AJ23" s="237">
        <f t="shared" si="14"/>
        <v>0</v>
      </c>
      <c r="AK23" s="139"/>
      <c r="AL23" s="139"/>
      <c r="AM23" s="139"/>
      <c r="AN23" s="139"/>
      <c r="AO23" s="139"/>
      <c r="AP23" s="237">
        <f>SUM(AQ23:AU23)</f>
        <v>0</v>
      </c>
      <c r="AQ23" s="139"/>
      <c r="AR23" s="139"/>
      <c r="AS23" s="139"/>
      <c r="AT23" s="139"/>
      <c r="AU23" s="139"/>
      <c r="AV23" s="237">
        <f>SUM(AW23:BA23)</f>
        <v>0</v>
      </c>
      <c r="AW23" s="139"/>
      <c r="AX23" s="139"/>
      <c r="AY23" s="139"/>
      <c r="AZ23" s="139"/>
      <c r="BA23" s="139"/>
      <c r="BB23" s="237">
        <f>SUM(BC23:BG23)</f>
        <v>0</v>
      </c>
      <c r="BC23" s="139"/>
      <c r="BD23" s="139"/>
      <c r="BE23" s="139"/>
      <c r="BF23" s="139"/>
      <c r="BG23" s="139"/>
      <c r="BH23" s="237">
        <f>SUM(BI23:BM23)</f>
        <v>0</v>
      </c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237">
        <f t="shared" si="15"/>
        <v>0</v>
      </c>
      <c r="BT23" s="139"/>
      <c r="BU23" s="139"/>
      <c r="BV23" s="139"/>
      <c r="BW23" s="139"/>
      <c r="BX23" s="139"/>
      <c r="BY23" s="139"/>
      <c r="BZ23" s="139"/>
      <c r="CA23" s="237">
        <f>SUM(CB23:CH23)</f>
        <v>0</v>
      </c>
      <c r="CB23" s="139"/>
      <c r="CC23" s="140"/>
      <c r="CD23" s="444" t="s">
        <v>475</v>
      </c>
      <c r="CE23" s="139"/>
      <c r="CF23" s="445"/>
      <c r="CG23" s="139"/>
      <c r="CH23" s="140"/>
    </row>
    <row r="24" spans="1:87" s="475" customFormat="1" ht="26.1" customHeight="1" x14ac:dyDescent="0.2">
      <c r="A24" s="464" t="s">
        <v>576</v>
      </c>
      <c r="B24" s="704" t="s">
        <v>545</v>
      </c>
      <c r="C24" s="704"/>
      <c r="D24" s="704"/>
      <c r="E24" s="704"/>
      <c r="F24" s="704"/>
      <c r="G24" s="704"/>
      <c r="H24" s="704"/>
      <c r="I24" s="121" t="s">
        <v>22</v>
      </c>
      <c r="J24" s="121">
        <f>SUM(J26:J27)</f>
        <v>221</v>
      </c>
      <c r="K24" s="121">
        <f t="shared" ref="K24:AC24" si="26">SUM(K25:K27)</f>
        <v>726</v>
      </c>
      <c r="L24" s="121">
        <f t="shared" si="26"/>
        <v>484</v>
      </c>
      <c r="M24" s="121">
        <f t="shared" si="26"/>
        <v>417</v>
      </c>
      <c r="N24" s="121">
        <f t="shared" si="26"/>
        <v>67</v>
      </c>
      <c r="O24" s="121">
        <f t="shared" si="26"/>
        <v>0</v>
      </c>
      <c r="P24" s="121">
        <f t="shared" si="26"/>
        <v>0</v>
      </c>
      <c r="Q24" s="121">
        <f t="shared" si="26"/>
        <v>242</v>
      </c>
      <c r="R24" s="121">
        <f t="shared" si="26"/>
        <v>306</v>
      </c>
      <c r="S24" s="121">
        <f t="shared" si="26"/>
        <v>170</v>
      </c>
      <c r="T24" s="121">
        <f t="shared" si="26"/>
        <v>34</v>
      </c>
      <c r="U24" s="121">
        <f t="shared" si="26"/>
        <v>0</v>
      </c>
      <c r="V24" s="121">
        <f t="shared" si="26"/>
        <v>0</v>
      </c>
      <c r="W24" s="121">
        <f t="shared" si="26"/>
        <v>102</v>
      </c>
      <c r="X24" s="121">
        <f t="shared" si="26"/>
        <v>420</v>
      </c>
      <c r="Y24" s="121">
        <f t="shared" si="26"/>
        <v>247</v>
      </c>
      <c r="Z24" s="121">
        <f t="shared" si="26"/>
        <v>33</v>
      </c>
      <c r="AA24" s="121">
        <f t="shared" si="26"/>
        <v>0</v>
      </c>
      <c r="AB24" s="121">
        <f t="shared" si="26"/>
        <v>0</v>
      </c>
      <c r="AC24" s="121">
        <f t="shared" si="26"/>
        <v>140</v>
      </c>
      <c r="AD24" s="121">
        <f t="shared" ref="AD24:CH24" si="27">SUM(AD26:AD27)</f>
        <v>0</v>
      </c>
      <c r="AE24" s="121">
        <f t="shared" si="27"/>
        <v>0</v>
      </c>
      <c r="AF24" s="121">
        <f t="shared" si="27"/>
        <v>0</v>
      </c>
      <c r="AG24" s="121">
        <f t="shared" si="27"/>
        <v>0</v>
      </c>
      <c r="AH24" s="121">
        <f t="shared" si="27"/>
        <v>0</v>
      </c>
      <c r="AI24" s="121">
        <f t="shared" si="27"/>
        <v>0</v>
      </c>
      <c r="AJ24" s="121">
        <f t="shared" si="27"/>
        <v>0</v>
      </c>
      <c r="AK24" s="121">
        <f t="shared" si="27"/>
        <v>0</v>
      </c>
      <c r="AL24" s="121">
        <f t="shared" si="27"/>
        <v>0</v>
      </c>
      <c r="AM24" s="121">
        <f t="shared" si="27"/>
        <v>0</v>
      </c>
      <c r="AN24" s="121">
        <f t="shared" si="27"/>
        <v>0</v>
      </c>
      <c r="AO24" s="121">
        <f t="shared" si="27"/>
        <v>0</v>
      </c>
      <c r="AP24" s="121">
        <f t="shared" si="27"/>
        <v>0</v>
      </c>
      <c r="AQ24" s="121">
        <f t="shared" si="27"/>
        <v>0</v>
      </c>
      <c r="AR24" s="121">
        <f t="shared" si="27"/>
        <v>0</v>
      </c>
      <c r="AS24" s="121">
        <f t="shared" si="27"/>
        <v>0</v>
      </c>
      <c r="AT24" s="121">
        <f t="shared" si="27"/>
        <v>0</v>
      </c>
      <c r="AU24" s="121">
        <f t="shared" si="27"/>
        <v>0</v>
      </c>
      <c r="AV24" s="121">
        <f t="shared" si="27"/>
        <v>0</v>
      </c>
      <c r="AW24" s="121">
        <f t="shared" si="27"/>
        <v>0</v>
      </c>
      <c r="AX24" s="121">
        <f t="shared" si="27"/>
        <v>0</v>
      </c>
      <c r="AY24" s="121">
        <f t="shared" si="27"/>
        <v>0</v>
      </c>
      <c r="AZ24" s="121">
        <f t="shared" si="27"/>
        <v>0</v>
      </c>
      <c r="BA24" s="121">
        <f t="shared" si="27"/>
        <v>0</v>
      </c>
      <c r="BB24" s="121">
        <f t="shared" si="27"/>
        <v>0</v>
      </c>
      <c r="BC24" s="121">
        <f t="shared" si="27"/>
        <v>0</v>
      </c>
      <c r="BD24" s="121">
        <f t="shared" si="27"/>
        <v>0</v>
      </c>
      <c r="BE24" s="121">
        <f t="shared" si="27"/>
        <v>0</v>
      </c>
      <c r="BF24" s="121">
        <f t="shared" si="27"/>
        <v>0</v>
      </c>
      <c r="BG24" s="121">
        <f t="shared" si="27"/>
        <v>0</v>
      </c>
      <c r="BH24" s="121">
        <f t="shared" si="27"/>
        <v>0</v>
      </c>
      <c r="BI24" s="121">
        <f t="shared" si="27"/>
        <v>0</v>
      </c>
      <c r="BJ24" s="121">
        <f t="shared" si="27"/>
        <v>0</v>
      </c>
      <c r="BK24" s="121">
        <f t="shared" si="27"/>
        <v>0</v>
      </c>
      <c r="BL24" s="121">
        <f t="shared" si="27"/>
        <v>0</v>
      </c>
      <c r="BM24" s="121">
        <f t="shared" si="27"/>
        <v>0</v>
      </c>
      <c r="BN24" s="121">
        <f t="shared" si="27"/>
        <v>0</v>
      </c>
      <c r="BO24" s="121">
        <f t="shared" si="27"/>
        <v>0</v>
      </c>
      <c r="BP24" s="121">
        <f t="shared" si="27"/>
        <v>0</v>
      </c>
      <c r="BQ24" s="121">
        <f t="shared" si="27"/>
        <v>0</v>
      </c>
      <c r="BR24" s="121">
        <f t="shared" si="27"/>
        <v>0</v>
      </c>
      <c r="BS24" s="121">
        <f t="shared" si="27"/>
        <v>0</v>
      </c>
      <c r="BT24" s="121">
        <f t="shared" si="27"/>
        <v>0</v>
      </c>
      <c r="BU24" s="121">
        <f t="shared" si="27"/>
        <v>0</v>
      </c>
      <c r="BV24" s="121">
        <f t="shared" si="27"/>
        <v>0</v>
      </c>
      <c r="BW24" s="121">
        <f t="shared" si="27"/>
        <v>0</v>
      </c>
      <c r="BX24" s="121">
        <f t="shared" si="27"/>
        <v>0</v>
      </c>
      <c r="BY24" s="121">
        <f t="shared" si="27"/>
        <v>0</v>
      </c>
      <c r="BZ24" s="121">
        <f t="shared" si="27"/>
        <v>0</v>
      </c>
      <c r="CA24" s="121">
        <f t="shared" si="27"/>
        <v>0</v>
      </c>
      <c r="CB24" s="121">
        <f t="shared" si="27"/>
        <v>0</v>
      </c>
      <c r="CC24" s="143">
        <f t="shared" si="27"/>
        <v>0</v>
      </c>
      <c r="CD24" s="477"/>
      <c r="CE24" s="121">
        <f t="shared" si="27"/>
        <v>0</v>
      </c>
      <c r="CF24" s="448">
        <f t="shared" si="27"/>
        <v>0</v>
      </c>
      <c r="CG24" s="438">
        <f t="shared" si="27"/>
        <v>0</v>
      </c>
      <c r="CH24" s="439">
        <f t="shared" si="27"/>
        <v>0</v>
      </c>
      <c r="CI24" s="476"/>
    </row>
    <row r="25" spans="1:87" s="475" customFormat="1" ht="26.1" customHeight="1" x14ac:dyDescent="0.2">
      <c r="A25" s="135" t="s">
        <v>577</v>
      </c>
      <c r="B25" s="418" t="s">
        <v>127</v>
      </c>
      <c r="C25" s="134"/>
      <c r="D25" s="135" t="s">
        <v>30</v>
      </c>
      <c r="E25" s="421"/>
      <c r="F25" s="421"/>
      <c r="G25" s="135"/>
      <c r="H25" s="421" t="s">
        <v>27</v>
      </c>
      <c r="I25" s="139">
        <v>351</v>
      </c>
      <c r="J25" s="139">
        <v>234</v>
      </c>
      <c r="K25" s="138">
        <f t="shared" ref="K25:K27" si="28">L25+SUM(Q25:Q25)</f>
        <v>384</v>
      </c>
      <c r="L25" s="138">
        <f t="shared" ref="L25:L27" si="29">SUM(M25:P25)</f>
        <v>256</v>
      </c>
      <c r="M25" s="138">
        <f t="shared" ref="M25:M27" si="30">S25+Y25</f>
        <v>256</v>
      </c>
      <c r="N25" s="138">
        <f t="shared" ref="N25:N27" si="31">T25+Z25</f>
        <v>0</v>
      </c>
      <c r="O25" s="138">
        <f t="shared" ref="O25:O27" si="32">U25+AA25</f>
        <v>0</v>
      </c>
      <c r="P25" s="138">
        <f t="shared" ref="P25:P27" si="33">V25+AB25</f>
        <v>0</v>
      </c>
      <c r="Q25" s="138">
        <f t="shared" ref="Q25:Q27" si="34">W25+AC25+AI25+AP25+AW25+BD25+BK25+BR25+BZ25+CH25</f>
        <v>128</v>
      </c>
      <c r="R25" s="237">
        <f>SUM(S25:V25)+W25</f>
        <v>153</v>
      </c>
      <c r="S25" s="139">
        <v>102</v>
      </c>
      <c r="T25" s="139"/>
      <c r="U25" s="139"/>
      <c r="V25" s="139"/>
      <c r="W25" s="139">
        <v>51</v>
      </c>
      <c r="X25" s="237">
        <f>SUM(Y25:AB25)+AC25</f>
        <v>231</v>
      </c>
      <c r="Y25" s="139">
        <v>154</v>
      </c>
      <c r="Z25" s="139"/>
      <c r="AA25" s="139"/>
      <c r="AB25" s="139"/>
      <c r="AC25" s="139">
        <v>77</v>
      </c>
      <c r="AD25" s="237">
        <f>SUM(AE25:AI25)</f>
        <v>0</v>
      </c>
      <c r="AE25" s="139"/>
      <c r="AF25" s="139"/>
      <c r="AG25" s="139"/>
      <c r="AH25" s="139"/>
      <c r="AI25" s="139"/>
      <c r="AJ25" s="237">
        <f>SUM(AK25:AP25)</f>
        <v>0</v>
      </c>
      <c r="AK25" s="139"/>
      <c r="AL25" s="139"/>
      <c r="AM25" s="139"/>
      <c r="AN25" s="139"/>
      <c r="AO25" s="139"/>
      <c r="AP25" s="237">
        <f>SUM(AQ25:AU25)</f>
        <v>0</v>
      </c>
      <c r="AQ25" s="139"/>
      <c r="AR25" s="139"/>
      <c r="AS25" s="139"/>
      <c r="AT25" s="139"/>
      <c r="AU25" s="139"/>
      <c r="AV25" s="237">
        <f>SUM(AW25:BA25)</f>
        <v>0</v>
      </c>
      <c r="AW25" s="139"/>
      <c r="AX25" s="139"/>
      <c r="AY25" s="139"/>
      <c r="AZ25" s="139"/>
      <c r="BA25" s="139"/>
      <c r="BB25" s="237">
        <f>SUM(BC25:BG25)</f>
        <v>0</v>
      </c>
      <c r="BC25" s="139"/>
      <c r="BD25" s="139"/>
      <c r="BE25" s="139"/>
      <c r="BF25" s="139"/>
      <c r="BG25" s="139"/>
      <c r="BH25" s="237">
        <f>SUM(BI25:BM25)</f>
        <v>0</v>
      </c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237">
        <f>SUM(BT25:BZ25)</f>
        <v>0</v>
      </c>
      <c r="BT25" s="139"/>
      <c r="BU25" s="139"/>
      <c r="BV25" s="139"/>
      <c r="BW25" s="139"/>
      <c r="BX25" s="139"/>
      <c r="BY25" s="139"/>
      <c r="BZ25" s="139"/>
      <c r="CA25" s="237">
        <f>SUM(CB25:CH25)</f>
        <v>0</v>
      </c>
      <c r="CB25" s="139"/>
      <c r="CC25" s="140"/>
      <c r="CD25" s="444" t="s">
        <v>476</v>
      </c>
      <c r="CE25" s="139"/>
      <c r="CF25" s="445"/>
      <c r="CG25" s="139"/>
      <c r="CH25" s="140"/>
    </row>
    <row r="26" spans="1:87" s="475" customFormat="1" ht="26.1" customHeight="1" x14ac:dyDescent="0.2">
      <c r="A26" s="135" t="s">
        <v>578</v>
      </c>
      <c r="B26" s="144" t="s">
        <v>128</v>
      </c>
      <c r="C26" s="134"/>
      <c r="D26" s="135"/>
      <c r="E26" s="135" t="s">
        <v>30</v>
      </c>
      <c r="F26" s="135"/>
      <c r="G26" s="135"/>
      <c r="H26" s="421" t="s">
        <v>27</v>
      </c>
      <c r="I26" s="157">
        <v>150</v>
      </c>
      <c r="J26" s="139">
        <v>100</v>
      </c>
      <c r="K26" s="138">
        <f t="shared" si="28"/>
        <v>150</v>
      </c>
      <c r="L26" s="138">
        <f t="shared" si="29"/>
        <v>100</v>
      </c>
      <c r="M26" s="138">
        <f t="shared" si="30"/>
        <v>61</v>
      </c>
      <c r="N26" s="138">
        <f t="shared" si="31"/>
        <v>39</v>
      </c>
      <c r="O26" s="138">
        <f t="shared" si="32"/>
        <v>0</v>
      </c>
      <c r="P26" s="138">
        <f t="shared" si="33"/>
        <v>0</v>
      </c>
      <c r="Q26" s="138">
        <f t="shared" si="34"/>
        <v>50</v>
      </c>
      <c r="R26" s="237">
        <f>SUM(S26:V26)+W26</f>
        <v>51</v>
      </c>
      <c r="S26" s="139">
        <v>17</v>
      </c>
      <c r="T26" s="139">
        <v>17</v>
      </c>
      <c r="U26" s="139"/>
      <c r="V26" s="139"/>
      <c r="W26" s="139">
        <v>17</v>
      </c>
      <c r="X26" s="237">
        <f>SUM(Y26:AB26)+AC26</f>
        <v>99</v>
      </c>
      <c r="Y26" s="139">
        <v>44</v>
      </c>
      <c r="Z26" s="139">
        <v>22</v>
      </c>
      <c r="AA26" s="139"/>
      <c r="AB26" s="139"/>
      <c r="AC26" s="139">
        <v>33</v>
      </c>
      <c r="AD26" s="237">
        <f>SUM(AE26:AI26)</f>
        <v>0</v>
      </c>
      <c r="AE26" s="139"/>
      <c r="AF26" s="139"/>
      <c r="AG26" s="139"/>
      <c r="AH26" s="139"/>
      <c r="AI26" s="139"/>
      <c r="AJ26" s="237">
        <f>SUM(AK26:AP26)</f>
        <v>0</v>
      </c>
      <c r="AK26" s="139"/>
      <c r="AL26" s="139"/>
      <c r="AM26" s="139"/>
      <c r="AN26" s="139"/>
      <c r="AO26" s="139"/>
      <c r="AP26" s="237">
        <f>SUM(AQ26:AU26)</f>
        <v>0</v>
      </c>
      <c r="AQ26" s="139"/>
      <c r="AR26" s="139"/>
      <c r="AS26" s="139"/>
      <c r="AT26" s="139"/>
      <c r="AU26" s="139"/>
      <c r="AV26" s="237">
        <f>SUM(AW26:BA26)</f>
        <v>0</v>
      </c>
      <c r="AW26" s="139"/>
      <c r="AX26" s="139"/>
      <c r="AY26" s="139"/>
      <c r="AZ26" s="139"/>
      <c r="BA26" s="139"/>
      <c r="BB26" s="237">
        <f>SUM(BC26:BG26)</f>
        <v>0</v>
      </c>
      <c r="BC26" s="139"/>
      <c r="BD26" s="139"/>
      <c r="BE26" s="139"/>
      <c r="BF26" s="139"/>
      <c r="BG26" s="139"/>
      <c r="BH26" s="237">
        <f>SUM(BI26:BM26)</f>
        <v>0</v>
      </c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237">
        <f>SUM(BT26:BZ26)</f>
        <v>0</v>
      </c>
      <c r="BT26" s="139"/>
      <c r="BU26" s="139"/>
      <c r="BV26" s="139"/>
      <c r="BW26" s="139"/>
      <c r="BX26" s="139"/>
      <c r="BY26" s="139"/>
      <c r="BZ26" s="139"/>
      <c r="CA26" s="237">
        <f>SUM(CB26:CH26)</f>
        <v>0</v>
      </c>
      <c r="CB26" s="139"/>
      <c r="CC26" s="140"/>
      <c r="CD26" s="444" t="s">
        <v>476</v>
      </c>
      <c r="CE26" s="139"/>
      <c r="CF26" s="447"/>
      <c r="CG26" s="157"/>
      <c r="CH26" s="328"/>
      <c r="CI26" s="476"/>
    </row>
    <row r="27" spans="1:87" s="475" customFormat="1" ht="26.1" customHeight="1" x14ac:dyDescent="0.2">
      <c r="A27" s="135" t="s">
        <v>579</v>
      </c>
      <c r="B27" s="144" t="s">
        <v>172</v>
      </c>
      <c r="C27" s="134"/>
      <c r="D27" s="135" t="s">
        <v>30</v>
      </c>
      <c r="E27" s="135"/>
      <c r="F27" s="135"/>
      <c r="G27" s="135"/>
      <c r="H27" s="421" t="s">
        <v>27</v>
      </c>
      <c r="I27" s="139">
        <v>181</v>
      </c>
      <c r="J27" s="139">
        <v>121</v>
      </c>
      <c r="K27" s="138">
        <f t="shared" si="28"/>
        <v>192</v>
      </c>
      <c r="L27" s="138">
        <f t="shared" si="29"/>
        <v>128</v>
      </c>
      <c r="M27" s="138">
        <f t="shared" si="30"/>
        <v>100</v>
      </c>
      <c r="N27" s="138">
        <f t="shared" si="31"/>
        <v>28</v>
      </c>
      <c r="O27" s="138">
        <f t="shared" si="32"/>
        <v>0</v>
      </c>
      <c r="P27" s="138">
        <f t="shared" si="33"/>
        <v>0</v>
      </c>
      <c r="Q27" s="138">
        <f t="shared" si="34"/>
        <v>64</v>
      </c>
      <c r="R27" s="237">
        <f>SUM(S27:V27)+W27</f>
        <v>102</v>
      </c>
      <c r="S27" s="139">
        <v>51</v>
      </c>
      <c r="T27" s="139">
        <v>17</v>
      </c>
      <c r="U27" s="139"/>
      <c r="V27" s="139"/>
      <c r="W27" s="139">
        <v>34</v>
      </c>
      <c r="X27" s="237">
        <f>SUM(Y27:AB27)+AC27</f>
        <v>90</v>
      </c>
      <c r="Y27" s="139">
        <v>49</v>
      </c>
      <c r="Z27" s="139">
        <v>11</v>
      </c>
      <c r="AA27" s="139"/>
      <c r="AB27" s="139"/>
      <c r="AC27" s="139">
        <v>30</v>
      </c>
      <c r="AD27" s="237">
        <f>SUM(AE27:AI27)</f>
        <v>0</v>
      </c>
      <c r="AE27" s="139"/>
      <c r="AF27" s="139"/>
      <c r="AG27" s="139"/>
      <c r="AH27" s="139"/>
      <c r="AI27" s="139"/>
      <c r="AJ27" s="237">
        <f>SUM(AK27:AP27)</f>
        <v>0</v>
      </c>
      <c r="AK27" s="139"/>
      <c r="AL27" s="139"/>
      <c r="AM27" s="139"/>
      <c r="AN27" s="139"/>
      <c r="AO27" s="139"/>
      <c r="AP27" s="237">
        <f>SUM(AQ27:AU27)</f>
        <v>0</v>
      </c>
      <c r="AQ27" s="139"/>
      <c r="AR27" s="139"/>
      <c r="AS27" s="139"/>
      <c r="AT27" s="139"/>
      <c r="AU27" s="139"/>
      <c r="AV27" s="237">
        <f>SUM(AW27:BA27)</f>
        <v>0</v>
      </c>
      <c r="AW27" s="139"/>
      <c r="AX27" s="139"/>
      <c r="AY27" s="139"/>
      <c r="AZ27" s="139"/>
      <c r="BA27" s="139"/>
      <c r="BB27" s="237">
        <f>SUM(BC27:BG27)</f>
        <v>0</v>
      </c>
      <c r="BC27" s="139"/>
      <c r="BD27" s="139"/>
      <c r="BE27" s="139"/>
      <c r="BF27" s="139"/>
      <c r="BG27" s="139"/>
      <c r="BH27" s="237">
        <f>SUM(BI27:BM27)</f>
        <v>0</v>
      </c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237">
        <f>SUM(BT27:BZ27)</f>
        <v>0</v>
      </c>
      <c r="BT27" s="139"/>
      <c r="BU27" s="139"/>
      <c r="BV27" s="139"/>
      <c r="BW27" s="139"/>
      <c r="BX27" s="139"/>
      <c r="BY27" s="139"/>
      <c r="BZ27" s="139"/>
      <c r="CA27" s="237">
        <f>SUM(CB27:CH27)</f>
        <v>0</v>
      </c>
      <c r="CB27" s="139"/>
      <c r="CC27" s="140"/>
      <c r="CD27" s="444" t="s">
        <v>476</v>
      </c>
      <c r="CE27" s="139"/>
      <c r="CF27" s="447"/>
      <c r="CG27" s="157"/>
      <c r="CH27" s="328"/>
      <c r="CI27" s="476"/>
    </row>
    <row r="28" spans="1:87" s="123" customFormat="1" ht="26.1" customHeight="1" x14ac:dyDescent="0.2">
      <c r="A28" s="497"/>
      <c r="B28" s="681" t="s">
        <v>344</v>
      </c>
      <c r="C28" s="681"/>
      <c r="D28" s="681"/>
      <c r="E28" s="681"/>
      <c r="F28" s="681"/>
      <c r="G28" s="681"/>
      <c r="H28" s="681"/>
      <c r="I28" s="493">
        <v>2970</v>
      </c>
      <c r="J28" s="493">
        <v>1980</v>
      </c>
      <c r="K28" s="493">
        <f t="shared" ref="K28:BF28" si="35">K29+K34+K38</f>
        <v>3154</v>
      </c>
      <c r="L28" s="493">
        <f t="shared" si="35"/>
        <v>2103</v>
      </c>
      <c r="M28" s="493">
        <f t="shared" si="35"/>
        <v>1449</v>
      </c>
      <c r="N28" s="493">
        <f t="shared" si="35"/>
        <v>600</v>
      </c>
      <c r="O28" s="493">
        <f t="shared" si="35"/>
        <v>54</v>
      </c>
      <c r="P28" s="493">
        <f t="shared" si="35"/>
        <v>0</v>
      </c>
      <c r="Q28" s="493">
        <f t="shared" si="35"/>
        <v>1051</v>
      </c>
      <c r="R28" s="493">
        <f t="shared" si="35"/>
        <v>0</v>
      </c>
      <c r="S28" s="493">
        <f t="shared" si="35"/>
        <v>0</v>
      </c>
      <c r="T28" s="493">
        <f t="shared" si="35"/>
        <v>0</v>
      </c>
      <c r="U28" s="493">
        <f t="shared" si="35"/>
        <v>0</v>
      </c>
      <c r="V28" s="493">
        <f t="shared" si="35"/>
        <v>0</v>
      </c>
      <c r="W28" s="493">
        <f t="shared" si="35"/>
        <v>0</v>
      </c>
      <c r="X28" s="493">
        <f t="shared" si="35"/>
        <v>0</v>
      </c>
      <c r="Y28" s="493">
        <f t="shared" si="35"/>
        <v>0</v>
      </c>
      <c r="Z28" s="493">
        <f t="shared" si="35"/>
        <v>0</v>
      </c>
      <c r="AA28" s="493">
        <f t="shared" si="35"/>
        <v>0</v>
      </c>
      <c r="AB28" s="493">
        <f t="shared" si="35"/>
        <v>0</v>
      </c>
      <c r="AC28" s="493">
        <f t="shared" si="35"/>
        <v>0</v>
      </c>
      <c r="AD28" s="493">
        <f t="shared" si="35"/>
        <v>756</v>
      </c>
      <c r="AE28" s="493">
        <f t="shared" si="35"/>
        <v>420</v>
      </c>
      <c r="AF28" s="493">
        <f t="shared" si="35"/>
        <v>88</v>
      </c>
      <c r="AG28" s="493">
        <f t="shared" si="35"/>
        <v>0</v>
      </c>
      <c r="AH28" s="493">
        <f t="shared" si="35"/>
        <v>0</v>
      </c>
      <c r="AI28" s="493">
        <f t="shared" si="35"/>
        <v>248</v>
      </c>
      <c r="AJ28" s="493">
        <f t="shared" si="35"/>
        <v>670</v>
      </c>
      <c r="AK28" s="493">
        <f t="shared" si="35"/>
        <v>258</v>
      </c>
      <c r="AL28" s="493">
        <f t="shared" si="35"/>
        <v>186</v>
      </c>
      <c r="AM28" s="493">
        <f t="shared" si="35"/>
        <v>0</v>
      </c>
      <c r="AN28" s="493">
        <f t="shared" si="35"/>
        <v>0</v>
      </c>
      <c r="AO28" s="493">
        <f t="shared" si="35"/>
        <v>226</v>
      </c>
      <c r="AP28" s="493">
        <f t="shared" si="35"/>
        <v>541</v>
      </c>
      <c r="AQ28" s="493">
        <f t="shared" si="35"/>
        <v>248</v>
      </c>
      <c r="AR28" s="493">
        <f t="shared" si="35"/>
        <v>92</v>
      </c>
      <c r="AS28" s="493">
        <f t="shared" si="35"/>
        <v>24</v>
      </c>
      <c r="AT28" s="493">
        <f t="shared" si="35"/>
        <v>0</v>
      </c>
      <c r="AU28" s="493">
        <f t="shared" si="35"/>
        <v>177</v>
      </c>
      <c r="AV28" s="493">
        <f t="shared" si="35"/>
        <v>327</v>
      </c>
      <c r="AW28" s="493">
        <f t="shared" si="35"/>
        <v>159</v>
      </c>
      <c r="AX28" s="493">
        <f t="shared" si="35"/>
        <v>58</v>
      </c>
      <c r="AY28" s="493">
        <f t="shared" si="35"/>
        <v>0</v>
      </c>
      <c r="AZ28" s="493">
        <f t="shared" si="35"/>
        <v>0</v>
      </c>
      <c r="BA28" s="493">
        <f t="shared" si="35"/>
        <v>110</v>
      </c>
      <c r="BB28" s="493">
        <f t="shared" si="35"/>
        <v>0</v>
      </c>
      <c r="BC28" s="493">
        <f t="shared" si="35"/>
        <v>0</v>
      </c>
      <c r="BD28" s="493">
        <f t="shared" si="35"/>
        <v>0</v>
      </c>
      <c r="BE28" s="493">
        <f t="shared" si="35"/>
        <v>0</v>
      </c>
      <c r="BF28" s="493">
        <f t="shared" si="35"/>
        <v>0</v>
      </c>
      <c r="BG28" s="493">
        <f t="shared" ref="BG28:BZ28" si="36">BG29+BG34+BG38</f>
        <v>0</v>
      </c>
      <c r="BH28" s="493">
        <f t="shared" si="36"/>
        <v>860</v>
      </c>
      <c r="BI28" s="493">
        <f t="shared" si="36"/>
        <v>364</v>
      </c>
      <c r="BJ28" s="493">
        <f t="shared" si="36"/>
        <v>176</v>
      </c>
      <c r="BK28" s="493">
        <f t="shared" si="36"/>
        <v>30</v>
      </c>
      <c r="BL28" s="493">
        <f t="shared" si="36"/>
        <v>0</v>
      </c>
      <c r="BM28" s="493">
        <f t="shared" si="36"/>
        <v>290</v>
      </c>
      <c r="BN28" s="493">
        <f t="shared" si="36"/>
        <v>0</v>
      </c>
      <c r="BO28" s="493">
        <f t="shared" si="36"/>
        <v>0</v>
      </c>
      <c r="BP28" s="493">
        <f t="shared" si="36"/>
        <v>0</v>
      </c>
      <c r="BQ28" s="493">
        <f t="shared" si="36"/>
        <v>0</v>
      </c>
      <c r="BR28" s="493">
        <f t="shared" si="36"/>
        <v>0</v>
      </c>
      <c r="BS28" s="493">
        <f t="shared" si="36"/>
        <v>0</v>
      </c>
      <c r="BT28" s="493">
        <f t="shared" si="36"/>
        <v>0</v>
      </c>
      <c r="BU28" s="493">
        <f t="shared" si="36"/>
        <v>0</v>
      </c>
      <c r="BV28" s="493">
        <f t="shared" si="36"/>
        <v>0</v>
      </c>
      <c r="BW28" s="493">
        <f t="shared" si="36"/>
        <v>0</v>
      </c>
      <c r="BX28" s="493">
        <f t="shared" si="36"/>
        <v>0</v>
      </c>
      <c r="BY28" s="493">
        <f t="shared" si="36"/>
        <v>0</v>
      </c>
      <c r="BZ28" s="493">
        <f t="shared" si="36"/>
        <v>0</v>
      </c>
      <c r="CA28" s="493">
        <f>CA29+CA34+CA38</f>
        <v>0</v>
      </c>
      <c r="CB28" s="493">
        <f>CB29+CB34+CB38</f>
        <v>0</v>
      </c>
      <c r="CC28" s="493">
        <f>CC29+CC34+CC38</f>
        <v>0</v>
      </c>
      <c r="CD28" s="271"/>
      <c r="CE28" s="271"/>
    </row>
    <row r="29" spans="1:87" s="123" customFormat="1" ht="26.1" customHeight="1" x14ac:dyDescent="0.2">
      <c r="A29" s="498" t="s">
        <v>157</v>
      </c>
      <c r="B29" s="744" t="s">
        <v>580</v>
      </c>
      <c r="C29" s="743"/>
      <c r="D29" s="743"/>
      <c r="E29" s="743"/>
      <c r="F29" s="743"/>
      <c r="G29" s="743"/>
      <c r="H29" s="743"/>
      <c r="I29" s="494">
        <v>612</v>
      </c>
      <c r="J29" s="494">
        <v>408</v>
      </c>
      <c r="K29" s="494">
        <f t="shared" ref="K29:BG29" si="37">SUM(K30:K33)</f>
        <v>612</v>
      </c>
      <c r="L29" s="494">
        <f t="shared" si="37"/>
        <v>408</v>
      </c>
      <c r="M29" s="494">
        <f t="shared" si="37"/>
        <v>252</v>
      </c>
      <c r="N29" s="494">
        <f t="shared" si="37"/>
        <v>156</v>
      </c>
      <c r="O29" s="494">
        <f t="shared" si="37"/>
        <v>0</v>
      </c>
      <c r="P29" s="494">
        <f t="shared" si="37"/>
        <v>0</v>
      </c>
      <c r="Q29" s="494">
        <f t="shared" si="37"/>
        <v>204</v>
      </c>
      <c r="R29" s="494">
        <f t="shared" si="37"/>
        <v>0</v>
      </c>
      <c r="S29" s="494">
        <f t="shared" si="37"/>
        <v>0</v>
      </c>
      <c r="T29" s="494">
        <f t="shared" si="37"/>
        <v>0</v>
      </c>
      <c r="U29" s="494">
        <f t="shared" si="37"/>
        <v>0</v>
      </c>
      <c r="V29" s="494">
        <f t="shared" si="37"/>
        <v>0</v>
      </c>
      <c r="W29" s="494">
        <f t="shared" si="37"/>
        <v>0</v>
      </c>
      <c r="X29" s="494">
        <f t="shared" si="37"/>
        <v>0</v>
      </c>
      <c r="Y29" s="494">
        <f t="shared" si="37"/>
        <v>0</v>
      </c>
      <c r="Z29" s="494">
        <f t="shared" si="37"/>
        <v>0</v>
      </c>
      <c r="AA29" s="494">
        <f t="shared" si="37"/>
        <v>0</v>
      </c>
      <c r="AB29" s="494">
        <f t="shared" si="37"/>
        <v>0</v>
      </c>
      <c r="AC29" s="494">
        <f t="shared" si="37"/>
        <v>0</v>
      </c>
      <c r="AD29" s="494">
        <f t="shared" si="37"/>
        <v>258</v>
      </c>
      <c r="AE29" s="494">
        <f t="shared" si="37"/>
        <v>144</v>
      </c>
      <c r="AF29" s="494">
        <f t="shared" si="37"/>
        <v>32</v>
      </c>
      <c r="AG29" s="494">
        <f t="shared" si="37"/>
        <v>0</v>
      </c>
      <c r="AH29" s="494">
        <f t="shared" si="37"/>
        <v>0</v>
      </c>
      <c r="AI29" s="494">
        <f t="shared" si="37"/>
        <v>82</v>
      </c>
      <c r="AJ29" s="494">
        <f t="shared" si="37"/>
        <v>88</v>
      </c>
      <c r="AK29" s="494">
        <f t="shared" si="37"/>
        <v>28</v>
      </c>
      <c r="AL29" s="494">
        <f t="shared" si="37"/>
        <v>28</v>
      </c>
      <c r="AM29" s="494">
        <f t="shared" si="37"/>
        <v>0</v>
      </c>
      <c r="AN29" s="494">
        <f t="shared" si="37"/>
        <v>0</v>
      </c>
      <c r="AO29" s="494">
        <f t="shared" si="37"/>
        <v>32</v>
      </c>
      <c r="AP29" s="494">
        <f t="shared" si="37"/>
        <v>114</v>
      </c>
      <c r="AQ29" s="494">
        <f t="shared" si="37"/>
        <v>24</v>
      </c>
      <c r="AR29" s="494">
        <f t="shared" si="37"/>
        <v>60</v>
      </c>
      <c r="AS29" s="494">
        <f t="shared" si="37"/>
        <v>0</v>
      </c>
      <c r="AT29" s="494">
        <f t="shared" si="37"/>
        <v>0</v>
      </c>
      <c r="AU29" s="494">
        <f t="shared" si="37"/>
        <v>30</v>
      </c>
      <c r="AV29" s="494">
        <f t="shared" si="37"/>
        <v>68</v>
      </c>
      <c r="AW29" s="494">
        <f t="shared" si="37"/>
        <v>14</v>
      </c>
      <c r="AX29" s="494">
        <f t="shared" si="37"/>
        <v>36</v>
      </c>
      <c r="AY29" s="494">
        <f t="shared" si="37"/>
        <v>0</v>
      </c>
      <c r="AZ29" s="494">
        <f t="shared" si="37"/>
        <v>0</v>
      </c>
      <c r="BA29" s="494">
        <f t="shared" si="37"/>
        <v>18</v>
      </c>
      <c r="BB29" s="494">
        <f t="shared" si="37"/>
        <v>0</v>
      </c>
      <c r="BC29" s="494">
        <f t="shared" si="37"/>
        <v>0</v>
      </c>
      <c r="BD29" s="494">
        <f t="shared" si="37"/>
        <v>0</v>
      </c>
      <c r="BE29" s="494">
        <f t="shared" si="37"/>
        <v>0</v>
      </c>
      <c r="BF29" s="494">
        <f t="shared" si="37"/>
        <v>0</v>
      </c>
      <c r="BG29" s="494">
        <f t="shared" si="37"/>
        <v>0</v>
      </c>
      <c r="BH29" s="494">
        <f t="shared" ref="BH29:BZ29" si="38">SUM(BH30:BH33)</f>
        <v>84</v>
      </c>
      <c r="BI29" s="494">
        <f t="shared" si="38"/>
        <v>42</v>
      </c>
      <c r="BJ29" s="494">
        <f t="shared" si="38"/>
        <v>0</v>
      </c>
      <c r="BK29" s="494">
        <f t="shared" si="38"/>
        <v>0</v>
      </c>
      <c r="BL29" s="494">
        <f t="shared" si="38"/>
        <v>0</v>
      </c>
      <c r="BM29" s="494">
        <f t="shared" si="38"/>
        <v>42</v>
      </c>
      <c r="BN29" s="494">
        <f t="shared" si="38"/>
        <v>0</v>
      </c>
      <c r="BO29" s="494">
        <f t="shared" si="38"/>
        <v>0</v>
      </c>
      <c r="BP29" s="494">
        <f t="shared" si="38"/>
        <v>0</v>
      </c>
      <c r="BQ29" s="494">
        <f t="shared" si="38"/>
        <v>0</v>
      </c>
      <c r="BR29" s="494">
        <f t="shared" si="38"/>
        <v>0</v>
      </c>
      <c r="BS29" s="494">
        <f t="shared" si="38"/>
        <v>0</v>
      </c>
      <c r="BT29" s="494">
        <f t="shared" si="38"/>
        <v>0</v>
      </c>
      <c r="BU29" s="494">
        <f t="shared" si="38"/>
        <v>0</v>
      </c>
      <c r="BV29" s="494">
        <f t="shared" si="38"/>
        <v>0</v>
      </c>
      <c r="BW29" s="494">
        <f t="shared" si="38"/>
        <v>0</v>
      </c>
      <c r="BX29" s="494">
        <f t="shared" si="38"/>
        <v>0</v>
      </c>
      <c r="BY29" s="494">
        <f t="shared" si="38"/>
        <v>0</v>
      </c>
      <c r="BZ29" s="494">
        <f t="shared" si="38"/>
        <v>0</v>
      </c>
      <c r="CA29" s="494">
        <f>SUM(CA30:CA33)</f>
        <v>0</v>
      </c>
      <c r="CB29" s="494">
        <f>SUM(CB30:CB33)</f>
        <v>0</v>
      </c>
      <c r="CC29" s="494">
        <f>SUM(CC30:CC33)</f>
        <v>0</v>
      </c>
      <c r="CD29" s="273"/>
      <c r="CE29" s="273"/>
    </row>
    <row r="30" spans="1:87" s="142" customFormat="1" ht="26.1" customHeight="1" x14ac:dyDescent="0.2">
      <c r="A30" s="135" t="s">
        <v>159</v>
      </c>
      <c r="B30" s="144" t="s">
        <v>163</v>
      </c>
      <c r="C30" s="134"/>
      <c r="D30" s="135"/>
      <c r="E30" s="135" t="s">
        <v>29</v>
      </c>
      <c r="F30" s="135"/>
      <c r="G30" s="135"/>
      <c r="H30" s="135"/>
      <c r="I30" s="139"/>
      <c r="J30" s="139">
        <v>48</v>
      </c>
      <c r="K30" s="138">
        <f>L30+SUM(Q30:Q30)</f>
        <v>61</v>
      </c>
      <c r="L30" s="138">
        <f>SUM(M30:P30)</f>
        <v>48</v>
      </c>
      <c r="M30" s="138">
        <f t="shared" ref="M30:P33" si="39">S30+Y30+AE30+AK30+AQ30+AW30+BC30+BI30+BP30+BX30</f>
        <v>48</v>
      </c>
      <c r="N30" s="138">
        <f t="shared" si="39"/>
        <v>0</v>
      </c>
      <c r="O30" s="138">
        <f t="shared" si="39"/>
        <v>0</v>
      </c>
      <c r="P30" s="138">
        <f t="shared" si="39"/>
        <v>0</v>
      </c>
      <c r="Q30" s="138">
        <f>W30+AC30+AI30+AO30+AU30+BA30+BG30+BM30+BU30+CC30</f>
        <v>13</v>
      </c>
      <c r="R30" s="237">
        <f>SUM(S30:W30)</f>
        <v>0</v>
      </c>
      <c r="S30" s="139"/>
      <c r="T30" s="139"/>
      <c r="U30" s="139"/>
      <c r="V30" s="139"/>
      <c r="W30" s="139"/>
      <c r="X30" s="237">
        <f>SUM(Y30:AC30)</f>
        <v>0</v>
      </c>
      <c r="Y30" s="139"/>
      <c r="Z30" s="139"/>
      <c r="AA30" s="139"/>
      <c r="AB30" s="139"/>
      <c r="AC30" s="139"/>
      <c r="AD30" s="237">
        <f>SUM(AE30:AI30)</f>
        <v>61</v>
      </c>
      <c r="AE30" s="139">
        <v>48</v>
      </c>
      <c r="AF30" s="139"/>
      <c r="AG30" s="139"/>
      <c r="AH30" s="139"/>
      <c r="AI30" s="139">
        <v>13</v>
      </c>
      <c r="AJ30" s="237">
        <f>SUM(AK30:AO30)</f>
        <v>0</v>
      </c>
      <c r="AK30" s="139"/>
      <c r="AL30" s="139"/>
      <c r="AM30" s="139"/>
      <c r="AN30" s="139"/>
      <c r="AO30" s="139"/>
      <c r="AP30" s="237">
        <f>SUM(AQ30:AU30)</f>
        <v>0</v>
      </c>
      <c r="AQ30" s="139"/>
      <c r="AR30" s="139"/>
      <c r="AS30" s="139"/>
      <c r="AT30" s="139"/>
      <c r="AU30" s="139"/>
      <c r="AV30" s="237">
        <f>SUM(AW30:BA30)</f>
        <v>0</v>
      </c>
      <c r="AW30" s="139"/>
      <c r="AX30" s="139"/>
      <c r="AY30" s="139"/>
      <c r="AZ30" s="139"/>
      <c r="BA30" s="139"/>
      <c r="BB30" s="237">
        <f>SUM(BC30:BG30)</f>
        <v>0</v>
      </c>
      <c r="BC30" s="139"/>
      <c r="BD30" s="139"/>
      <c r="BE30" s="139"/>
      <c r="BF30" s="139"/>
      <c r="BG30" s="139"/>
      <c r="BH30" s="237">
        <f>SUM(BI30:BM30)</f>
        <v>0</v>
      </c>
      <c r="BI30" s="139"/>
      <c r="BJ30" s="139"/>
      <c r="BK30" s="139"/>
      <c r="BL30" s="139"/>
      <c r="BM30" s="139"/>
      <c r="BN30" s="237">
        <f>SUM(BO30:BU30)</f>
        <v>0</v>
      </c>
      <c r="BO30" s="139"/>
      <c r="BP30" s="139"/>
      <c r="BQ30" s="139"/>
      <c r="BR30" s="139"/>
      <c r="BS30" s="139"/>
      <c r="BT30" s="139"/>
      <c r="BU30" s="139"/>
      <c r="BV30" s="237">
        <f>SUM(BW30:CC30)</f>
        <v>0</v>
      </c>
      <c r="BW30" s="139"/>
      <c r="BX30" s="139"/>
      <c r="BY30" s="139"/>
      <c r="BZ30" s="139"/>
      <c r="CA30" s="139"/>
      <c r="CB30" s="139"/>
      <c r="CC30" s="139"/>
      <c r="CD30" s="135" t="s">
        <v>475</v>
      </c>
      <c r="CE30" s="499" t="s">
        <v>283</v>
      </c>
    </row>
    <row r="31" spans="1:87" s="142" customFormat="1" ht="26.1" customHeight="1" x14ac:dyDescent="0.2">
      <c r="A31" s="135" t="s">
        <v>160</v>
      </c>
      <c r="B31" s="144" t="s">
        <v>125</v>
      </c>
      <c r="C31" s="134"/>
      <c r="D31" s="135"/>
      <c r="E31" s="135" t="s">
        <v>29</v>
      </c>
      <c r="F31" s="135"/>
      <c r="G31" s="135"/>
      <c r="H31" s="135"/>
      <c r="I31" s="139"/>
      <c r="J31" s="139">
        <v>48</v>
      </c>
      <c r="K31" s="138">
        <f>L31+SUM(Q31:Q31)</f>
        <v>61</v>
      </c>
      <c r="L31" s="138">
        <f>SUM(M31:P31)</f>
        <v>48</v>
      </c>
      <c r="M31" s="138">
        <f t="shared" si="39"/>
        <v>48</v>
      </c>
      <c r="N31" s="138">
        <f t="shared" si="39"/>
        <v>0</v>
      </c>
      <c r="O31" s="138">
        <f t="shared" si="39"/>
        <v>0</v>
      </c>
      <c r="P31" s="138">
        <f t="shared" si="39"/>
        <v>0</v>
      </c>
      <c r="Q31" s="138">
        <f>W31+AC31+AI31+AO31+AU31+BA31+BG31+BM31+BU31+CC31</f>
        <v>13</v>
      </c>
      <c r="R31" s="237">
        <f>SUM(S31:W31)</f>
        <v>0</v>
      </c>
      <c r="S31" s="139"/>
      <c r="T31" s="139"/>
      <c r="U31" s="139"/>
      <c r="V31" s="139"/>
      <c r="W31" s="139"/>
      <c r="X31" s="237">
        <f>SUM(Y31:AC31)</f>
        <v>0</v>
      </c>
      <c r="Y31" s="139"/>
      <c r="Z31" s="139"/>
      <c r="AA31" s="139"/>
      <c r="AB31" s="139"/>
      <c r="AC31" s="139"/>
      <c r="AD31" s="237">
        <f>SUM(AE31:AI31)</f>
        <v>61</v>
      </c>
      <c r="AE31" s="139">
        <v>48</v>
      </c>
      <c r="AF31" s="139"/>
      <c r="AG31" s="139"/>
      <c r="AH31" s="139"/>
      <c r="AI31" s="139">
        <v>13</v>
      </c>
      <c r="AJ31" s="237">
        <f>SUM(AK31:AO31)</f>
        <v>0</v>
      </c>
      <c r="AK31" s="139"/>
      <c r="AL31" s="139"/>
      <c r="AM31" s="139"/>
      <c r="AN31" s="139"/>
      <c r="AO31" s="139"/>
      <c r="AP31" s="237">
        <f>SUM(AQ31:AU31)</f>
        <v>0</v>
      </c>
      <c r="AQ31" s="139"/>
      <c r="AR31" s="139"/>
      <c r="AS31" s="139"/>
      <c r="AT31" s="139"/>
      <c r="AU31" s="139"/>
      <c r="AV31" s="237">
        <f>SUM(AW31:BA31)</f>
        <v>0</v>
      </c>
      <c r="AW31" s="139"/>
      <c r="AX31" s="139"/>
      <c r="AY31" s="139"/>
      <c r="AZ31" s="139"/>
      <c r="BA31" s="139"/>
      <c r="BB31" s="237">
        <f>SUM(BC31:BG31)</f>
        <v>0</v>
      </c>
      <c r="BC31" s="139"/>
      <c r="BD31" s="139"/>
      <c r="BE31" s="139"/>
      <c r="BF31" s="139"/>
      <c r="BG31" s="139"/>
      <c r="BH31" s="237">
        <f>SUM(BI31:BM31)</f>
        <v>0</v>
      </c>
      <c r="BI31" s="139"/>
      <c r="BJ31" s="139"/>
      <c r="BK31" s="139"/>
      <c r="BL31" s="139"/>
      <c r="BM31" s="139"/>
      <c r="BN31" s="237">
        <f>SUM(BO31:BU31)</f>
        <v>0</v>
      </c>
      <c r="BO31" s="139"/>
      <c r="BP31" s="139"/>
      <c r="BQ31" s="139"/>
      <c r="BR31" s="139"/>
      <c r="BS31" s="139"/>
      <c r="BT31" s="139"/>
      <c r="BU31" s="139"/>
      <c r="BV31" s="237">
        <f>SUM(BW31:CC31)</f>
        <v>0</v>
      </c>
      <c r="BW31" s="139"/>
      <c r="BX31" s="139"/>
      <c r="BY31" s="139"/>
      <c r="BZ31" s="139"/>
      <c r="CA31" s="139"/>
      <c r="CB31" s="139"/>
      <c r="CC31" s="139"/>
      <c r="CD31" s="135" t="s">
        <v>475</v>
      </c>
      <c r="CE31" s="499" t="s">
        <v>283</v>
      </c>
    </row>
    <row r="32" spans="1:87" s="142" customFormat="1" ht="26.1" customHeight="1" x14ac:dyDescent="0.2">
      <c r="A32" s="135" t="s">
        <v>161</v>
      </c>
      <c r="B32" s="144" t="s">
        <v>126</v>
      </c>
      <c r="C32" s="134"/>
      <c r="D32" s="135" t="s">
        <v>40</v>
      </c>
      <c r="E32" s="135" t="s">
        <v>41</v>
      </c>
      <c r="F32" s="135"/>
      <c r="G32" s="135"/>
      <c r="H32" s="135" t="s">
        <v>546</v>
      </c>
      <c r="I32" s="139"/>
      <c r="J32" s="139">
        <v>156</v>
      </c>
      <c r="K32" s="138">
        <f>L32+SUM(Q32:Q32)</f>
        <v>178</v>
      </c>
      <c r="L32" s="138">
        <f>SUM(M32:P32)</f>
        <v>156</v>
      </c>
      <c r="M32" s="138">
        <f t="shared" si="39"/>
        <v>0</v>
      </c>
      <c r="N32" s="138">
        <f t="shared" si="39"/>
        <v>156</v>
      </c>
      <c r="O32" s="138">
        <f t="shared" si="39"/>
        <v>0</v>
      </c>
      <c r="P32" s="138">
        <f t="shared" si="39"/>
        <v>0</v>
      </c>
      <c r="Q32" s="138">
        <f>W32+AC32+AI32+AO32+AU32+BA32+BG32+BM32+BU32+CC32</f>
        <v>22</v>
      </c>
      <c r="R32" s="237">
        <f>SUM(S32:W32)</f>
        <v>0</v>
      </c>
      <c r="S32" s="139"/>
      <c r="T32" s="139"/>
      <c r="U32" s="139"/>
      <c r="V32" s="139"/>
      <c r="W32" s="139"/>
      <c r="X32" s="237">
        <f>SUM(Y32:AC32)</f>
        <v>0</v>
      </c>
      <c r="Y32" s="139"/>
      <c r="Z32" s="139"/>
      <c r="AA32" s="139"/>
      <c r="AB32" s="139"/>
      <c r="AC32" s="139"/>
      <c r="AD32" s="237">
        <f>SUM(AE32:AI32)</f>
        <v>40</v>
      </c>
      <c r="AE32" s="139"/>
      <c r="AF32" s="139">
        <v>32</v>
      </c>
      <c r="AG32" s="139"/>
      <c r="AH32" s="139"/>
      <c r="AI32" s="139">
        <v>8</v>
      </c>
      <c r="AJ32" s="237">
        <f>SUM(AK32:AO32)</f>
        <v>32</v>
      </c>
      <c r="AK32" s="139"/>
      <c r="AL32" s="139">
        <v>28</v>
      </c>
      <c r="AM32" s="139"/>
      <c r="AN32" s="139"/>
      <c r="AO32" s="139">
        <v>4</v>
      </c>
      <c r="AP32" s="237">
        <f>SUM(AQ32:AU32)</f>
        <v>66</v>
      </c>
      <c r="AQ32" s="139"/>
      <c r="AR32" s="157">
        <v>60</v>
      </c>
      <c r="AS32" s="139"/>
      <c r="AT32" s="139"/>
      <c r="AU32" s="139">
        <v>6</v>
      </c>
      <c r="AV32" s="237">
        <f>SUM(AW32:BA32)</f>
        <v>40</v>
      </c>
      <c r="AW32" s="139"/>
      <c r="AX32" s="157">
        <v>36</v>
      </c>
      <c r="AY32" s="139"/>
      <c r="AZ32" s="139"/>
      <c r="BA32" s="139">
        <v>4</v>
      </c>
      <c r="BB32" s="237">
        <f>SUM(BC32:BG32)</f>
        <v>0</v>
      </c>
      <c r="BC32" s="139"/>
      <c r="BD32" s="139"/>
      <c r="BE32" s="139"/>
      <c r="BF32" s="139"/>
      <c r="BG32" s="139"/>
      <c r="BH32" s="237">
        <f>SUM(BI32:BM32)</f>
        <v>0</v>
      </c>
      <c r="BI32" s="139"/>
      <c r="BJ32" s="139"/>
      <c r="BK32" s="139"/>
      <c r="BL32" s="139"/>
      <c r="BM32" s="139"/>
      <c r="BN32" s="237">
        <f>SUM(BO32:BU32)</f>
        <v>0</v>
      </c>
      <c r="BO32" s="139"/>
      <c r="BP32" s="139"/>
      <c r="BQ32" s="139"/>
      <c r="BR32" s="139"/>
      <c r="BS32" s="139"/>
      <c r="BT32" s="139"/>
      <c r="BU32" s="139"/>
      <c r="BV32" s="237">
        <f>SUM(BW32:CC32)</f>
        <v>0</v>
      </c>
      <c r="BW32" s="139"/>
      <c r="BX32" s="139"/>
      <c r="BY32" s="139"/>
      <c r="BZ32" s="139"/>
      <c r="CA32" s="139"/>
      <c r="CB32" s="139"/>
      <c r="CC32" s="139"/>
      <c r="CD32" s="135" t="s">
        <v>475</v>
      </c>
      <c r="CE32" s="499" t="s">
        <v>283</v>
      </c>
    </row>
    <row r="33" spans="1:83" s="142" customFormat="1" ht="26.1" customHeight="1" x14ac:dyDescent="0.2">
      <c r="A33" s="135" t="s">
        <v>162</v>
      </c>
      <c r="B33" s="144" t="s">
        <v>7</v>
      </c>
      <c r="C33" s="134"/>
      <c r="D33" s="135"/>
      <c r="E33" s="135"/>
      <c r="F33" s="135" t="s">
        <v>535</v>
      </c>
      <c r="G33" s="135"/>
      <c r="H33" s="135"/>
      <c r="I33" s="139">
        <v>312</v>
      </c>
      <c r="J33" s="139">
        <v>156</v>
      </c>
      <c r="K33" s="138">
        <f>L33+SUM(Q33:Q33)</f>
        <v>312</v>
      </c>
      <c r="L33" s="138">
        <f>SUM(M33:P33)</f>
        <v>156</v>
      </c>
      <c r="M33" s="138">
        <f t="shared" si="39"/>
        <v>156</v>
      </c>
      <c r="N33" s="138">
        <f t="shared" si="39"/>
        <v>0</v>
      </c>
      <c r="O33" s="138">
        <f t="shared" si="39"/>
        <v>0</v>
      </c>
      <c r="P33" s="138">
        <f t="shared" si="39"/>
        <v>0</v>
      </c>
      <c r="Q33" s="138">
        <f>W33+AC33+AI33+AO33+AU33+BA33+BG33+BM33+BU33+CC33</f>
        <v>156</v>
      </c>
      <c r="R33" s="237">
        <f>SUM(S33:W33)</f>
        <v>0</v>
      </c>
      <c r="S33" s="139"/>
      <c r="T33" s="139"/>
      <c r="U33" s="139"/>
      <c r="V33" s="139"/>
      <c r="W33" s="139"/>
      <c r="X33" s="237">
        <f>SUM(Y33:AC33)</f>
        <v>0</v>
      </c>
      <c r="Y33" s="139"/>
      <c r="Z33" s="139"/>
      <c r="AA33" s="139"/>
      <c r="AB33" s="139"/>
      <c r="AC33" s="139"/>
      <c r="AD33" s="237">
        <f>SUM(AE33:AI33)</f>
        <v>96</v>
      </c>
      <c r="AE33" s="157">
        <v>48</v>
      </c>
      <c r="AF33" s="139"/>
      <c r="AG33" s="139"/>
      <c r="AH33" s="139"/>
      <c r="AI33" s="139">
        <v>48</v>
      </c>
      <c r="AJ33" s="237">
        <f>SUM(AK33:AO33)</f>
        <v>56</v>
      </c>
      <c r="AK33" s="157">
        <v>28</v>
      </c>
      <c r="AL33" s="139"/>
      <c r="AM33" s="139"/>
      <c r="AN33" s="139"/>
      <c r="AO33" s="139">
        <v>28</v>
      </c>
      <c r="AP33" s="237">
        <f>SUM(AQ33:AU33)</f>
        <v>48</v>
      </c>
      <c r="AQ33" s="157">
        <v>24</v>
      </c>
      <c r="AR33" s="139"/>
      <c r="AS33" s="139"/>
      <c r="AT33" s="139"/>
      <c r="AU33" s="139">
        <v>24</v>
      </c>
      <c r="AV33" s="237">
        <f>SUM(AW33:BA33)</f>
        <v>28</v>
      </c>
      <c r="AW33" s="139">
        <v>14</v>
      </c>
      <c r="AX33" s="139"/>
      <c r="AY33" s="139"/>
      <c r="AZ33" s="139"/>
      <c r="BA33" s="139">
        <v>14</v>
      </c>
      <c r="BB33" s="237">
        <f>SUM(BC33:BG33)</f>
        <v>0</v>
      </c>
      <c r="BC33" s="139"/>
      <c r="BD33" s="139"/>
      <c r="BE33" s="139"/>
      <c r="BF33" s="139"/>
      <c r="BG33" s="139"/>
      <c r="BH33" s="237">
        <f>SUM(BI33:BM33)</f>
        <v>84</v>
      </c>
      <c r="BI33" s="157">
        <v>42</v>
      </c>
      <c r="BJ33" s="139"/>
      <c r="BK33" s="139"/>
      <c r="BL33" s="139"/>
      <c r="BM33" s="139">
        <v>42</v>
      </c>
      <c r="BN33" s="237">
        <f>SUM(BO33:BU33)</f>
        <v>0</v>
      </c>
      <c r="BO33" s="139"/>
      <c r="BP33" s="139"/>
      <c r="BQ33" s="139"/>
      <c r="BR33" s="139"/>
      <c r="BS33" s="139"/>
      <c r="BT33" s="139"/>
      <c r="BU33" s="139"/>
      <c r="BV33" s="237">
        <f>SUM(BW33:CC33)</f>
        <v>0</v>
      </c>
      <c r="BW33" s="139"/>
      <c r="BX33" s="139"/>
      <c r="BY33" s="139"/>
      <c r="BZ33" s="139"/>
      <c r="CA33" s="139"/>
      <c r="CB33" s="139"/>
      <c r="CC33" s="139"/>
      <c r="CD33" s="135" t="s">
        <v>477</v>
      </c>
      <c r="CE33" s="499" t="s">
        <v>356</v>
      </c>
    </row>
    <row r="34" spans="1:83" s="123" customFormat="1" ht="26.1" customHeight="1" x14ac:dyDescent="0.2">
      <c r="A34" s="498" t="s">
        <v>165</v>
      </c>
      <c r="B34" s="743" t="s">
        <v>244</v>
      </c>
      <c r="C34" s="743"/>
      <c r="D34" s="743"/>
      <c r="E34" s="743"/>
      <c r="F34" s="743"/>
      <c r="G34" s="743"/>
      <c r="H34" s="743"/>
      <c r="I34" s="494">
        <v>162</v>
      </c>
      <c r="J34" s="494">
        <v>108</v>
      </c>
      <c r="K34" s="494">
        <f t="shared" ref="K34:BM34" si="40">SUM(K35:K37)</f>
        <v>162</v>
      </c>
      <c r="L34" s="494">
        <f t="shared" si="40"/>
        <v>108</v>
      </c>
      <c r="M34" s="494">
        <f t="shared" si="40"/>
        <v>78</v>
      </c>
      <c r="N34" s="494">
        <f t="shared" si="40"/>
        <v>30</v>
      </c>
      <c r="O34" s="494">
        <f t="shared" si="40"/>
        <v>0</v>
      </c>
      <c r="P34" s="494">
        <f t="shared" si="40"/>
        <v>0</v>
      </c>
      <c r="Q34" s="494">
        <f t="shared" si="40"/>
        <v>54</v>
      </c>
      <c r="R34" s="494">
        <f t="shared" si="40"/>
        <v>0</v>
      </c>
      <c r="S34" s="494">
        <f t="shared" si="40"/>
        <v>0</v>
      </c>
      <c r="T34" s="494">
        <f t="shared" si="40"/>
        <v>0</v>
      </c>
      <c r="U34" s="494">
        <f t="shared" si="40"/>
        <v>0</v>
      </c>
      <c r="V34" s="494">
        <f t="shared" si="40"/>
        <v>0</v>
      </c>
      <c r="W34" s="494">
        <f t="shared" si="40"/>
        <v>0</v>
      </c>
      <c r="X34" s="494">
        <f t="shared" si="40"/>
        <v>0</v>
      </c>
      <c r="Y34" s="494">
        <f t="shared" si="40"/>
        <v>0</v>
      </c>
      <c r="Z34" s="494">
        <f t="shared" si="40"/>
        <v>0</v>
      </c>
      <c r="AA34" s="494">
        <f t="shared" si="40"/>
        <v>0</v>
      </c>
      <c r="AB34" s="494">
        <f t="shared" si="40"/>
        <v>0</v>
      </c>
      <c r="AC34" s="494">
        <f t="shared" si="40"/>
        <v>0</v>
      </c>
      <c r="AD34" s="494">
        <f t="shared" si="40"/>
        <v>54</v>
      </c>
      <c r="AE34" s="494">
        <f t="shared" si="40"/>
        <v>36</v>
      </c>
      <c r="AF34" s="494">
        <f t="shared" si="40"/>
        <v>0</v>
      </c>
      <c r="AG34" s="494">
        <f t="shared" si="40"/>
        <v>0</v>
      </c>
      <c r="AH34" s="494">
        <f t="shared" si="40"/>
        <v>0</v>
      </c>
      <c r="AI34" s="494">
        <f t="shared" si="40"/>
        <v>18</v>
      </c>
      <c r="AJ34" s="494">
        <f t="shared" si="40"/>
        <v>108</v>
      </c>
      <c r="AK34" s="494">
        <f t="shared" si="40"/>
        <v>42</v>
      </c>
      <c r="AL34" s="494">
        <f t="shared" si="40"/>
        <v>30</v>
      </c>
      <c r="AM34" s="494">
        <f t="shared" si="40"/>
        <v>0</v>
      </c>
      <c r="AN34" s="494">
        <f t="shared" si="40"/>
        <v>0</v>
      </c>
      <c r="AO34" s="494">
        <f t="shared" si="40"/>
        <v>36</v>
      </c>
      <c r="AP34" s="494">
        <f t="shared" si="40"/>
        <v>0</v>
      </c>
      <c r="AQ34" s="494">
        <f t="shared" si="40"/>
        <v>0</v>
      </c>
      <c r="AR34" s="494">
        <f t="shared" si="40"/>
        <v>0</v>
      </c>
      <c r="AS34" s="494">
        <f t="shared" si="40"/>
        <v>0</v>
      </c>
      <c r="AT34" s="494">
        <f t="shared" si="40"/>
        <v>0</v>
      </c>
      <c r="AU34" s="494">
        <f t="shared" si="40"/>
        <v>0</v>
      </c>
      <c r="AV34" s="494">
        <f t="shared" si="40"/>
        <v>0</v>
      </c>
      <c r="AW34" s="494">
        <f t="shared" si="40"/>
        <v>0</v>
      </c>
      <c r="AX34" s="494">
        <f t="shared" si="40"/>
        <v>0</v>
      </c>
      <c r="AY34" s="494">
        <f t="shared" si="40"/>
        <v>0</v>
      </c>
      <c r="AZ34" s="494">
        <f t="shared" si="40"/>
        <v>0</v>
      </c>
      <c r="BA34" s="494">
        <f t="shared" si="40"/>
        <v>0</v>
      </c>
      <c r="BB34" s="494">
        <f t="shared" si="40"/>
        <v>0</v>
      </c>
      <c r="BC34" s="494">
        <f t="shared" si="40"/>
        <v>0</v>
      </c>
      <c r="BD34" s="494">
        <f t="shared" si="40"/>
        <v>0</v>
      </c>
      <c r="BE34" s="494">
        <f t="shared" si="40"/>
        <v>0</v>
      </c>
      <c r="BF34" s="494">
        <f t="shared" si="40"/>
        <v>0</v>
      </c>
      <c r="BG34" s="494">
        <f t="shared" si="40"/>
        <v>0</v>
      </c>
      <c r="BH34" s="494">
        <f t="shared" si="40"/>
        <v>0</v>
      </c>
      <c r="BI34" s="494">
        <f t="shared" si="40"/>
        <v>0</v>
      </c>
      <c r="BJ34" s="494">
        <f t="shared" si="40"/>
        <v>0</v>
      </c>
      <c r="BK34" s="494">
        <f t="shared" si="40"/>
        <v>0</v>
      </c>
      <c r="BL34" s="494">
        <f t="shared" si="40"/>
        <v>0</v>
      </c>
      <c r="BM34" s="494">
        <f t="shared" si="40"/>
        <v>0</v>
      </c>
      <c r="BN34" s="494">
        <f t="shared" ref="BN34:BZ34" si="41">SUM(BN35:BN37)</f>
        <v>0</v>
      </c>
      <c r="BO34" s="494">
        <f t="shared" si="41"/>
        <v>0</v>
      </c>
      <c r="BP34" s="494">
        <f t="shared" si="41"/>
        <v>0</v>
      </c>
      <c r="BQ34" s="494">
        <f t="shared" si="41"/>
        <v>0</v>
      </c>
      <c r="BR34" s="494">
        <f t="shared" si="41"/>
        <v>0</v>
      </c>
      <c r="BS34" s="494">
        <f t="shared" si="41"/>
        <v>0</v>
      </c>
      <c r="BT34" s="494">
        <f t="shared" si="41"/>
        <v>0</v>
      </c>
      <c r="BU34" s="494">
        <f t="shared" si="41"/>
        <v>0</v>
      </c>
      <c r="BV34" s="494">
        <f t="shared" si="41"/>
        <v>0</v>
      </c>
      <c r="BW34" s="494">
        <f t="shared" si="41"/>
        <v>0</v>
      </c>
      <c r="BX34" s="494">
        <f t="shared" si="41"/>
        <v>0</v>
      </c>
      <c r="BY34" s="494">
        <f t="shared" si="41"/>
        <v>0</v>
      </c>
      <c r="BZ34" s="494">
        <f t="shared" si="41"/>
        <v>0</v>
      </c>
      <c r="CA34" s="494">
        <f>SUM(CA35:CA37)</f>
        <v>0</v>
      </c>
      <c r="CB34" s="494">
        <f>SUM(CB35:CB37)</f>
        <v>0</v>
      </c>
      <c r="CC34" s="494">
        <f>SUM(CC35:CC37)</f>
        <v>0</v>
      </c>
      <c r="CD34" s="273"/>
      <c r="CE34" s="273"/>
    </row>
    <row r="35" spans="1:83" s="142" customFormat="1" ht="26.1" customHeight="1" x14ac:dyDescent="0.2">
      <c r="A35" s="135" t="s">
        <v>166</v>
      </c>
      <c r="B35" s="144" t="s">
        <v>127</v>
      </c>
      <c r="C35" s="144"/>
      <c r="D35" s="145"/>
      <c r="E35" s="145" t="s">
        <v>29</v>
      </c>
      <c r="F35" s="145"/>
      <c r="G35" s="145"/>
      <c r="H35" s="145"/>
      <c r="I35" s="157"/>
      <c r="J35" s="139"/>
      <c r="K35" s="138">
        <f>L35+SUM(Q35:Q35)</f>
        <v>54</v>
      </c>
      <c r="L35" s="138">
        <f>SUM(M35:P35)</f>
        <v>36</v>
      </c>
      <c r="M35" s="138">
        <f t="shared" ref="M35:P37" si="42">S35+Y35+AE35+AK35+AQ35+AW35+BC35+BI35+BP35+BX35</f>
        <v>36</v>
      </c>
      <c r="N35" s="138">
        <f t="shared" si="42"/>
        <v>0</v>
      </c>
      <c r="O35" s="138">
        <f t="shared" si="42"/>
        <v>0</v>
      </c>
      <c r="P35" s="138">
        <f t="shared" si="42"/>
        <v>0</v>
      </c>
      <c r="Q35" s="138">
        <f>W35+AC35+AI35+AO35+AU35+BA35+BG35+BM35+BU35+CC35</f>
        <v>18</v>
      </c>
      <c r="R35" s="237">
        <f>SUM(S35:W35)</f>
        <v>0</v>
      </c>
      <c r="S35" s="139"/>
      <c r="T35" s="139"/>
      <c r="U35" s="139"/>
      <c r="V35" s="139"/>
      <c r="W35" s="139"/>
      <c r="X35" s="237">
        <f>SUM(Y35:AC35)</f>
        <v>0</v>
      </c>
      <c r="Y35" s="139"/>
      <c r="Z35" s="139"/>
      <c r="AA35" s="139"/>
      <c r="AB35" s="139"/>
      <c r="AC35" s="139"/>
      <c r="AD35" s="237">
        <f>SUM(AE35:AI35)</f>
        <v>54</v>
      </c>
      <c r="AE35" s="431">
        <v>36</v>
      </c>
      <c r="AF35" s="139"/>
      <c r="AG35" s="139"/>
      <c r="AH35" s="139"/>
      <c r="AI35" s="157">
        <v>18</v>
      </c>
      <c r="AJ35" s="237">
        <f>SUM(AK35:AO35)</f>
        <v>0</v>
      </c>
      <c r="AK35" s="139"/>
      <c r="AL35" s="139"/>
      <c r="AM35" s="139"/>
      <c r="AN35" s="139"/>
      <c r="AO35" s="139"/>
      <c r="AP35" s="237">
        <f>SUM(AQ35:AU35)</f>
        <v>0</v>
      </c>
      <c r="AQ35" s="139"/>
      <c r="AR35" s="139"/>
      <c r="AS35" s="139"/>
      <c r="AT35" s="139"/>
      <c r="AU35" s="139"/>
      <c r="AV35" s="237">
        <f>SUM(AW35:BA35)</f>
        <v>0</v>
      </c>
      <c r="AW35" s="139"/>
      <c r="AX35" s="139"/>
      <c r="AY35" s="139"/>
      <c r="AZ35" s="139"/>
      <c r="BA35" s="139"/>
      <c r="BB35" s="237">
        <f>SUM(BC35:BG35)</f>
        <v>0</v>
      </c>
      <c r="BC35" s="139"/>
      <c r="BD35" s="139"/>
      <c r="BE35" s="139"/>
      <c r="BF35" s="139"/>
      <c r="BG35" s="139"/>
      <c r="BH35" s="237">
        <f>SUM(BI35:BM35)</f>
        <v>0</v>
      </c>
      <c r="BI35" s="139"/>
      <c r="BJ35" s="139"/>
      <c r="BK35" s="139"/>
      <c r="BL35" s="139"/>
      <c r="BM35" s="139"/>
      <c r="BN35" s="237">
        <f>SUM(BO35:BU35)</f>
        <v>0</v>
      </c>
      <c r="BO35" s="139"/>
      <c r="BP35" s="139"/>
      <c r="BQ35" s="139"/>
      <c r="BR35" s="139"/>
      <c r="BS35" s="139"/>
      <c r="BT35" s="139"/>
      <c r="BU35" s="139"/>
      <c r="BV35" s="237">
        <f>SUM(BW35:CC35)</f>
        <v>0</v>
      </c>
      <c r="BW35" s="139"/>
      <c r="BX35" s="139"/>
      <c r="BY35" s="139"/>
      <c r="BZ35" s="139"/>
      <c r="CA35" s="139"/>
      <c r="CB35" s="139"/>
      <c r="CC35" s="139"/>
      <c r="CD35" s="135" t="s">
        <v>476</v>
      </c>
      <c r="CE35" s="586" t="s">
        <v>585</v>
      </c>
    </row>
    <row r="36" spans="1:83" s="142" customFormat="1" ht="26.1" customHeight="1" x14ac:dyDescent="0.2">
      <c r="A36" s="135" t="s">
        <v>167</v>
      </c>
      <c r="B36" s="144" t="s">
        <v>128</v>
      </c>
      <c r="C36" s="144"/>
      <c r="D36" s="145"/>
      <c r="E36" s="145" t="s">
        <v>39</v>
      </c>
      <c r="F36" s="145"/>
      <c r="G36" s="145"/>
      <c r="H36" s="145"/>
      <c r="I36" s="157"/>
      <c r="J36" s="139"/>
      <c r="K36" s="138">
        <f>L36+SUM(Q36:Q36)</f>
        <v>54</v>
      </c>
      <c r="L36" s="138">
        <f>SUM(M36:P36)</f>
        <v>36</v>
      </c>
      <c r="M36" s="138">
        <f t="shared" si="42"/>
        <v>6</v>
      </c>
      <c r="N36" s="138">
        <f t="shared" si="42"/>
        <v>30</v>
      </c>
      <c r="O36" s="138">
        <f t="shared" si="42"/>
        <v>0</v>
      </c>
      <c r="P36" s="138">
        <f t="shared" si="42"/>
        <v>0</v>
      </c>
      <c r="Q36" s="138">
        <f>W36+AC36+AI36+AO36+AU36+BA36+BG36+BM36+BU36+CC36</f>
        <v>18</v>
      </c>
      <c r="R36" s="237">
        <f>SUM(S36:W36)</f>
        <v>0</v>
      </c>
      <c r="S36" s="139"/>
      <c r="T36" s="139"/>
      <c r="U36" s="139"/>
      <c r="V36" s="139"/>
      <c r="W36" s="139"/>
      <c r="X36" s="237">
        <f>SUM(Y36:AC36)</f>
        <v>0</v>
      </c>
      <c r="Y36" s="139"/>
      <c r="Z36" s="139"/>
      <c r="AA36" s="139"/>
      <c r="AB36" s="139"/>
      <c r="AC36" s="139"/>
      <c r="AD36" s="237">
        <f>SUM(AE36:AI36)</f>
        <v>0</v>
      </c>
      <c r="AE36" s="139"/>
      <c r="AF36" s="139"/>
      <c r="AG36" s="139"/>
      <c r="AH36" s="139"/>
      <c r="AI36" s="139"/>
      <c r="AJ36" s="237">
        <f>SUM(AK36:AO36)</f>
        <v>54</v>
      </c>
      <c r="AK36" s="431">
        <v>6</v>
      </c>
      <c r="AL36" s="139">
        <v>30</v>
      </c>
      <c r="AM36" s="139"/>
      <c r="AN36" s="139"/>
      <c r="AO36" s="139">
        <v>18</v>
      </c>
      <c r="AP36" s="237">
        <f>SUM(AQ36:AU36)</f>
        <v>0</v>
      </c>
      <c r="AQ36" s="139"/>
      <c r="AR36" s="139"/>
      <c r="AS36" s="139"/>
      <c r="AT36" s="139"/>
      <c r="AU36" s="139"/>
      <c r="AV36" s="237">
        <f>SUM(AW36:BA36)</f>
        <v>0</v>
      </c>
      <c r="AW36" s="139"/>
      <c r="AX36" s="139"/>
      <c r="AY36" s="139"/>
      <c r="AZ36" s="139"/>
      <c r="BA36" s="139"/>
      <c r="BB36" s="237">
        <f>SUM(BC36:BG36)</f>
        <v>0</v>
      </c>
      <c r="BC36" s="139"/>
      <c r="BD36" s="139"/>
      <c r="BE36" s="139"/>
      <c r="BF36" s="139"/>
      <c r="BG36" s="139"/>
      <c r="BH36" s="237">
        <f>SUM(BI36:BM36)</f>
        <v>0</v>
      </c>
      <c r="BI36" s="139"/>
      <c r="BJ36" s="139"/>
      <c r="BK36" s="139"/>
      <c r="BL36" s="139"/>
      <c r="BM36" s="139"/>
      <c r="BN36" s="237">
        <f>SUM(BO36:BU36)</f>
        <v>0</v>
      </c>
      <c r="BO36" s="139"/>
      <c r="BP36" s="139"/>
      <c r="BQ36" s="139"/>
      <c r="BR36" s="139"/>
      <c r="BS36" s="139"/>
      <c r="BT36" s="139"/>
      <c r="BU36" s="139"/>
      <c r="BV36" s="237">
        <f>SUM(BW36:CC36)</f>
        <v>0</v>
      </c>
      <c r="BW36" s="139"/>
      <c r="BX36" s="139"/>
      <c r="BY36" s="139"/>
      <c r="BZ36" s="139"/>
      <c r="CA36" s="139"/>
      <c r="CB36" s="139"/>
      <c r="CC36" s="139"/>
      <c r="CD36" s="135" t="s">
        <v>476</v>
      </c>
      <c r="CE36" s="586" t="s">
        <v>585</v>
      </c>
    </row>
    <row r="37" spans="1:83" s="142" customFormat="1" ht="26.1" customHeight="1" x14ac:dyDescent="0.2">
      <c r="A37" s="135" t="s">
        <v>286</v>
      </c>
      <c r="B37" s="144" t="s">
        <v>359</v>
      </c>
      <c r="C37" s="134"/>
      <c r="D37" s="135"/>
      <c r="E37" s="135" t="s">
        <v>39</v>
      </c>
      <c r="F37" s="135"/>
      <c r="G37" s="135"/>
      <c r="H37" s="135"/>
      <c r="I37" s="157"/>
      <c r="J37" s="139"/>
      <c r="K37" s="138">
        <f>L37+SUM(Q37:Q37)</f>
        <v>54</v>
      </c>
      <c r="L37" s="138">
        <f>SUM(M37:P37)</f>
        <v>36</v>
      </c>
      <c r="M37" s="138">
        <f t="shared" si="42"/>
        <v>36</v>
      </c>
      <c r="N37" s="138">
        <f t="shared" si="42"/>
        <v>0</v>
      </c>
      <c r="O37" s="138">
        <f t="shared" si="42"/>
        <v>0</v>
      </c>
      <c r="P37" s="138">
        <f t="shared" si="42"/>
        <v>0</v>
      </c>
      <c r="Q37" s="138">
        <f>W37+AC37+AI37+AO37+AU37+BA37+BG37+BM37+BU37+CC37</f>
        <v>18</v>
      </c>
      <c r="R37" s="237">
        <f>SUM(S37:W37)</f>
        <v>0</v>
      </c>
      <c r="S37" s="139"/>
      <c r="T37" s="139"/>
      <c r="U37" s="139"/>
      <c r="V37" s="139"/>
      <c r="W37" s="139"/>
      <c r="X37" s="237">
        <f>SUM(Y37:AC37)</f>
        <v>0</v>
      </c>
      <c r="Y37" s="139"/>
      <c r="Z37" s="139"/>
      <c r="AA37" s="139"/>
      <c r="AB37" s="139"/>
      <c r="AC37" s="139"/>
      <c r="AD37" s="237">
        <f>SUM(AE37:AI37)</f>
        <v>0</v>
      </c>
      <c r="AE37" s="139"/>
      <c r="AF37" s="139"/>
      <c r="AG37" s="139"/>
      <c r="AH37" s="139"/>
      <c r="AI37" s="139"/>
      <c r="AJ37" s="237">
        <f>SUM(AK37:AO37)</f>
        <v>54</v>
      </c>
      <c r="AK37" s="139">
        <v>36</v>
      </c>
      <c r="AL37" s="139"/>
      <c r="AM37" s="139"/>
      <c r="AN37" s="139"/>
      <c r="AO37" s="139">
        <v>18</v>
      </c>
      <c r="AP37" s="237">
        <f>SUM(AQ37:AU37)</f>
        <v>0</v>
      </c>
      <c r="AQ37" s="139"/>
      <c r="AR37" s="139"/>
      <c r="AS37" s="139"/>
      <c r="AT37" s="139"/>
      <c r="AU37" s="139"/>
      <c r="AV37" s="237">
        <f>SUM(AW37:BA37)</f>
        <v>0</v>
      </c>
      <c r="AW37" s="139"/>
      <c r="AX37" s="139"/>
      <c r="AY37" s="139"/>
      <c r="AZ37" s="139"/>
      <c r="BA37" s="139"/>
      <c r="BB37" s="237">
        <f>SUM(BC37:BG37)</f>
        <v>0</v>
      </c>
      <c r="BC37" s="139"/>
      <c r="BD37" s="139"/>
      <c r="BE37" s="139"/>
      <c r="BF37" s="139"/>
      <c r="BG37" s="139"/>
      <c r="BH37" s="237">
        <f>SUM(BI37:BM37)</f>
        <v>0</v>
      </c>
      <c r="BI37" s="139"/>
      <c r="BJ37" s="139"/>
      <c r="BK37" s="139"/>
      <c r="BL37" s="139"/>
      <c r="BM37" s="139"/>
      <c r="BN37" s="237">
        <f>SUM(BO37:BU37)</f>
        <v>0</v>
      </c>
      <c r="BO37" s="139"/>
      <c r="BP37" s="139"/>
      <c r="BQ37" s="139"/>
      <c r="BR37" s="139"/>
      <c r="BS37" s="139"/>
      <c r="BT37" s="139"/>
      <c r="BU37" s="139"/>
      <c r="BV37" s="237">
        <f>SUM(BW37:CC37)</f>
        <v>0</v>
      </c>
      <c r="BW37" s="139"/>
      <c r="BX37" s="139"/>
      <c r="BY37" s="139"/>
      <c r="BZ37" s="139"/>
      <c r="CA37" s="139"/>
      <c r="CB37" s="139"/>
      <c r="CC37" s="139"/>
      <c r="CD37" s="135" t="s">
        <v>476</v>
      </c>
      <c r="CE37" s="586" t="s">
        <v>586</v>
      </c>
    </row>
    <row r="38" spans="1:83" s="123" customFormat="1" ht="26.1" customHeight="1" x14ac:dyDescent="0.2">
      <c r="A38" s="498" t="s">
        <v>187</v>
      </c>
      <c r="B38" s="744" t="s">
        <v>581</v>
      </c>
      <c r="C38" s="743"/>
      <c r="D38" s="743"/>
      <c r="E38" s="743"/>
      <c r="F38" s="743"/>
      <c r="G38" s="743"/>
      <c r="H38" s="743"/>
      <c r="I38" s="494">
        <v>2196</v>
      </c>
      <c r="J38" s="494">
        <v>1464</v>
      </c>
      <c r="K38" s="494">
        <f t="shared" ref="K38:AH38" si="43">K39+K47</f>
        <v>2380</v>
      </c>
      <c r="L38" s="494">
        <f t="shared" si="43"/>
        <v>1587</v>
      </c>
      <c r="M38" s="494">
        <f t="shared" si="43"/>
        <v>1119</v>
      </c>
      <c r="N38" s="494">
        <f t="shared" si="43"/>
        <v>414</v>
      </c>
      <c r="O38" s="494">
        <f t="shared" si="43"/>
        <v>54</v>
      </c>
      <c r="P38" s="494">
        <f t="shared" si="43"/>
        <v>0</v>
      </c>
      <c r="Q38" s="494">
        <f t="shared" si="43"/>
        <v>793</v>
      </c>
      <c r="R38" s="494">
        <f t="shared" si="43"/>
        <v>0</v>
      </c>
      <c r="S38" s="494">
        <f t="shared" si="43"/>
        <v>0</v>
      </c>
      <c r="T38" s="494">
        <f t="shared" si="43"/>
        <v>0</v>
      </c>
      <c r="U38" s="494">
        <f t="shared" si="43"/>
        <v>0</v>
      </c>
      <c r="V38" s="494">
        <f t="shared" si="43"/>
        <v>0</v>
      </c>
      <c r="W38" s="494">
        <f t="shared" si="43"/>
        <v>0</v>
      </c>
      <c r="X38" s="494">
        <f t="shared" si="43"/>
        <v>0</v>
      </c>
      <c r="Y38" s="494">
        <f t="shared" si="43"/>
        <v>0</v>
      </c>
      <c r="Z38" s="494">
        <f t="shared" si="43"/>
        <v>0</v>
      </c>
      <c r="AA38" s="494">
        <f t="shared" si="43"/>
        <v>0</v>
      </c>
      <c r="AB38" s="494">
        <f t="shared" si="43"/>
        <v>0</v>
      </c>
      <c r="AC38" s="494">
        <f t="shared" si="43"/>
        <v>0</v>
      </c>
      <c r="AD38" s="494">
        <f t="shared" si="43"/>
        <v>444</v>
      </c>
      <c r="AE38" s="494">
        <f t="shared" si="43"/>
        <v>240</v>
      </c>
      <c r="AF38" s="494">
        <f t="shared" si="43"/>
        <v>56</v>
      </c>
      <c r="AG38" s="494">
        <f t="shared" si="43"/>
        <v>0</v>
      </c>
      <c r="AH38" s="494">
        <f t="shared" si="43"/>
        <v>0</v>
      </c>
      <c r="AI38" s="494">
        <f t="shared" ref="AI38:BM38" si="44">AI39+AI47</f>
        <v>148</v>
      </c>
      <c r="AJ38" s="494">
        <f t="shared" si="44"/>
        <v>474</v>
      </c>
      <c r="AK38" s="494">
        <f t="shared" si="44"/>
        <v>188</v>
      </c>
      <c r="AL38" s="494">
        <f t="shared" si="44"/>
        <v>128</v>
      </c>
      <c r="AM38" s="494">
        <f t="shared" si="44"/>
        <v>0</v>
      </c>
      <c r="AN38" s="494">
        <f t="shared" si="44"/>
        <v>0</v>
      </c>
      <c r="AO38" s="494">
        <f t="shared" si="44"/>
        <v>158</v>
      </c>
      <c r="AP38" s="494">
        <f t="shared" si="44"/>
        <v>427</v>
      </c>
      <c r="AQ38" s="494">
        <f t="shared" si="44"/>
        <v>224</v>
      </c>
      <c r="AR38" s="494">
        <f t="shared" si="44"/>
        <v>32</v>
      </c>
      <c r="AS38" s="494">
        <f t="shared" si="44"/>
        <v>24</v>
      </c>
      <c r="AT38" s="494">
        <f t="shared" si="44"/>
        <v>0</v>
      </c>
      <c r="AU38" s="494">
        <f t="shared" si="44"/>
        <v>147</v>
      </c>
      <c r="AV38" s="494">
        <f t="shared" si="44"/>
        <v>259</v>
      </c>
      <c r="AW38" s="494">
        <f t="shared" si="44"/>
        <v>145</v>
      </c>
      <c r="AX38" s="494">
        <f t="shared" si="44"/>
        <v>22</v>
      </c>
      <c r="AY38" s="494">
        <f t="shared" si="44"/>
        <v>0</v>
      </c>
      <c r="AZ38" s="494">
        <f t="shared" si="44"/>
        <v>0</v>
      </c>
      <c r="BA38" s="494">
        <f t="shared" si="44"/>
        <v>92</v>
      </c>
      <c r="BB38" s="494">
        <f t="shared" si="44"/>
        <v>0</v>
      </c>
      <c r="BC38" s="494">
        <f t="shared" si="44"/>
        <v>0</v>
      </c>
      <c r="BD38" s="494">
        <f t="shared" si="44"/>
        <v>0</v>
      </c>
      <c r="BE38" s="494">
        <f t="shared" si="44"/>
        <v>0</v>
      </c>
      <c r="BF38" s="494">
        <f t="shared" si="44"/>
        <v>0</v>
      </c>
      <c r="BG38" s="494">
        <f t="shared" si="44"/>
        <v>0</v>
      </c>
      <c r="BH38" s="494">
        <f t="shared" si="44"/>
        <v>776</v>
      </c>
      <c r="BI38" s="494">
        <f t="shared" si="44"/>
        <v>322</v>
      </c>
      <c r="BJ38" s="494">
        <f t="shared" si="44"/>
        <v>176</v>
      </c>
      <c r="BK38" s="494">
        <f t="shared" si="44"/>
        <v>30</v>
      </c>
      <c r="BL38" s="494">
        <f t="shared" si="44"/>
        <v>0</v>
      </c>
      <c r="BM38" s="494">
        <f t="shared" si="44"/>
        <v>248</v>
      </c>
      <c r="BN38" s="494">
        <f t="shared" ref="BN38:CC38" si="45">BN39+BN47</f>
        <v>0</v>
      </c>
      <c r="BO38" s="494">
        <f t="shared" si="45"/>
        <v>0</v>
      </c>
      <c r="BP38" s="494">
        <f t="shared" si="45"/>
        <v>0</v>
      </c>
      <c r="BQ38" s="494">
        <f t="shared" si="45"/>
        <v>0</v>
      </c>
      <c r="BR38" s="494">
        <f t="shared" si="45"/>
        <v>0</v>
      </c>
      <c r="BS38" s="494">
        <f t="shared" si="45"/>
        <v>0</v>
      </c>
      <c r="BT38" s="494">
        <f t="shared" si="45"/>
        <v>0</v>
      </c>
      <c r="BU38" s="494">
        <f t="shared" si="45"/>
        <v>0</v>
      </c>
      <c r="BV38" s="494">
        <f t="shared" si="45"/>
        <v>0</v>
      </c>
      <c r="BW38" s="494">
        <f t="shared" si="45"/>
        <v>0</v>
      </c>
      <c r="BX38" s="494">
        <f t="shared" si="45"/>
        <v>0</v>
      </c>
      <c r="BY38" s="494">
        <f t="shared" si="45"/>
        <v>0</v>
      </c>
      <c r="BZ38" s="494">
        <f t="shared" si="45"/>
        <v>0</v>
      </c>
      <c r="CA38" s="494">
        <f t="shared" si="45"/>
        <v>0</v>
      </c>
      <c r="CB38" s="494">
        <f t="shared" si="45"/>
        <v>0</v>
      </c>
      <c r="CC38" s="494">
        <f t="shared" si="45"/>
        <v>0</v>
      </c>
      <c r="CD38" s="273"/>
      <c r="CE38" s="273"/>
    </row>
    <row r="39" spans="1:83" s="123" customFormat="1" ht="26.1" customHeight="1" x14ac:dyDescent="0.2">
      <c r="A39" s="500" t="s">
        <v>176</v>
      </c>
      <c r="B39" s="746" t="s">
        <v>175</v>
      </c>
      <c r="C39" s="746"/>
      <c r="D39" s="746"/>
      <c r="E39" s="746"/>
      <c r="F39" s="746"/>
      <c r="G39" s="746"/>
      <c r="H39" s="746"/>
      <c r="I39" s="274">
        <v>804</v>
      </c>
      <c r="J39" s="274">
        <v>536</v>
      </c>
      <c r="K39" s="148">
        <f t="shared" ref="K39:AH39" si="46">SUM(K40:K46)</f>
        <v>804</v>
      </c>
      <c r="L39" s="148">
        <f t="shared" si="46"/>
        <v>536</v>
      </c>
      <c r="M39" s="148">
        <f t="shared" si="46"/>
        <v>450</v>
      </c>
      <c r="N39" s="148">
        <f t="shared" si="46"/>
        <v>86</v>
      </c>
      <c r="O39" s="148">
        <f t="shared" si="46"/>
        <v>0</v>
      </c>
      <c r="P39" s="148">
        <f t="shared" si="46"/>
        <v>0</v>
      </c>
      <c r="Q39" s="148">
        <f t="shared" si="46"/>
        <v>268</v>
      </c>
      <c r="R39" s="148">
        <f t="shared" si="46"/>
        <v>0</v>
      </c>
      <c r="S39" s="148">
        <f t="shared" si="46"/>
        <v>0</v>
      </c>
      <c r="T39" s="148">
        <f t="shared" si="46"/>
        <v>0</v>
      </c>
      <c r="U39" s="148">
        <f t="shared" si="46"/>
        <v>0</v>
      </c>
      <c r="V39" s="148">
        <f t="shared" si="46"/>
        <v>0</v>
      </c>
      <c r="W39" s="148">
        <f t="shared" si="46"/>
        <v>0</v>
      </c>
      <c r="X39" s="148">
        <f t="shared" si="46"/>
        <v>0</v>
      </c>
      <c r="Y39" s="148">
        <f t="shared" si="46"/>
        <v>0</v>
      </c>
      <c r="Z39" s="148">
        <f t="shared" si="46"/>
        <v>0</v>
      </c>
      <c r="AA39" s="148">
        <f t="shared" si="46"/>
        <v>0</v>
      </c>
      <c r="AB39" s="148">
        <f t="shared" si="46"/>
        <v>0</v>
      </c>
      <c r="AC39" s="148">
        <f t="shared" si="46"/>
        <v>0</v>
      </c>
      <c r="AD39" s="148">
        <f t="shared" si="46"/>
        <v>408</v>
      </c>
      <c r="AE39" s="148">
        <f t="shared" si="46"/>
        <v>240</v>
      </c>
      <c r="AF39" s="148">
        <f t="shared" si="46"/>
        <v>32</v>
      </c>
      <c r="AG39" s="148">
        <f t="shared" si="46"/>
        <v>0</v>
      </c>
      <c r="AH39" s="148">
        <f t="shared" si="46"/>
        <v>0</v>
      </c>
      <c r="AI39" s="148">
        <f t="shared" ref="AI39:BM39" si="47">SUM(AI40:AI46)</f>
        <v>136</v>
      </c>
      <c r="AJ39" s="148">
        <f t="shared" si="47"/>
        <v>291</v>
      </c>
      <c r="AK39" s="148">
        <f t="shared" si="47"/>
        <v>140</v>
      </c>
      <c r="AL39" s="148">
        <f t="shared" si="47"/>
        <v>54</v>
      </c>
      <c r="AM39" s="148">
        <f t="shared" si="47"/>
        <v>0</v>
      </c>
      <c r="AN39" s="148">
        <f t="shared" si="47"/>
        <v>0</v>
      </c>
      <c r="AO39" s="148">
        <f t="shared" si="47"/>
        <v>97</v>
      </c>
      <c r="AP39" s="148">
        <f t="shared" si="47"/>
        <v>54</v>
      </c>
      <c r="AQ39" s="148">
        <f t="shared" si="47"/>
        <v>36</v>
      </c>
      <c r="AR39" s="148">
        <f t="shared" si="47"/>
        <v>0</v>
      </c>
      <c r="AS39" s="148">
        <f t="shared" si="47"/>
        <v>0</v>
      </c>
      <c r="AT39" s="148">
        <f t="shared" si="47"/>
        <v>0</v>
      </c>
      <c r="AU39" s="148">
        <f t="shared" si="47"/>
        <v>18</v>
      </c>
      <c r="AV39" s="148">
        <f t="shared" si="47"/>
        <v>51</v>
      </c>
      <c r="AW39" s="148">
        <f t="shared" si="47"/>
        <v>34</v>
      </c>
      <c r="AX39" s="148">
        <f t="shared" si="47"/>
        <v>0</v>
      </c>
      <c r="AY39" s="148">
        <f t="shared" si="47"/>
        <v>0</v>
      </c>
      <c r="AZ39" s="148">
        <f t="shared" si="47"/>
        <v>0</v>
      </c>
      <c r="BA39" s="148">
        <f t="shared" si="47"/>
        <v>17</v>
      </c>
      <c r="BB39" s="148">
        <f t="shared" si="47"/>
        <v>0</v>
      </c>
      <c r="BC39" s="148">
        <f t="shared" si="47"/>
        <v>0</v>
      </c>
      <c r="BD39" s="148">
        <f t="shared" si="47"/>
        <v>0</v>
      </c>
      <c r="BE39" s="148">
        <f t="shared" si="47"/>
        <v>0</v>
      </c>
      <c r="BF39" s="148">
        <f t="shared" si="47"/>
        <v>0</v>
      </c>
      <c r="BG39" s="148">
        <f t="shared" si="47"/>
        <v>0</v>
      </c>
      <c r="BH39" s="148">
        <f t="shared" si="47"/>
        <v>0</v>
      </c>
      <c r="BI39" s="148">
        <f t="shared" si="47"/>
        <v>0</v>
      </c>
      <c r="BJ39" s="148">
        <f t="shared" si="47"/>
        <v>0</v>
      </c>
      <c r="BK39" s="148">
        <f t="shared" si="47"/>
        <v>0</v>
      </c>
      <c r="BL39" s="148">
        <f t="shared" si="47"/>
        <v>0</v>
      </c>
      <c r="BM39" s="148">
        <f t="shared" si="47"/>
        <v>0</v>
      </c>
      <c r="BN39" s="148">
        <f t="shared" ref="BN39:CC39" si="48">SUM(BN40:BN46)</f>
        <v>0</v>
      </c>
      <c r="BO39" s="148">
        <f t="shared" si="48"/>
        <v>0</v>
      </c>
      <c r="BP39" s="148">
        <f t="shared" si="48"/>
        <v>0</v>
      </c>
      <c r="BQ39" s="148">
        <f t="shared" si="48"/>
        <v>0</v>
      </c>
      <c r="BR39" s="148">
        <f t="shared" si="48"/>
        <v>0</v>
      </c>
      <c r="BS39" s="148">
        <f t="shared" si="48"/>
        <v>0</v>
      </c>
      <c r="BT39" s="148">
        <f t="shared" si="48"/>
        <v>0</v>
      </c>
      <c r="BU39" s="148">
        <f t="shared" si="48"/>
        <v>0</v>
      </c>
      <c r="BV39" s="148">
        <f t="shared" si="48"/>
        <v>0</v>
      </c>
      <c r="BW39" s="148">
        <f t="shared" si="48"/>
        <v>0</v>
      </c>
      <c r="BX39" s="148">
        <f t="shared" si="48"/>
        <v>0</v>
      </c>
      <c r="BY39" s="148">
        <f t="shared" si="48"/>
        <v>0</v>
      </c>
      <c r="BZ39" s="148">
        <f t="shared" si="48"/>
        <v>0</v>
      </c>
      <c r="CA39" s="148">
        <f t="shared" si="48"/>
        <v>0</v>
      </c>
      <c r="CB39" s="148">
        <f t="shared" si="48"/>
        <v>0</v>
      </c>
      <c r="CC39" s="148">
        <f t="shared" si="48"/>
        <v>0</v>
      </c>
      <c r="CD39" s="273"/>
      <c r="CE39" s="273"/>
    </row>
    <row r="40" spans="1:83" s="142" customFormat="1" ht="26.1" customHeight="1" x14ac:dyDescent="0.2">
      <c r="A40" s="135" t="s">
        <v>177</v>
      </c>
      <c r="B40" s="144" t="s">
        <v>178</v>
      </c>
      <c r="C40" s="134"/>
      <c r="D40" s="135"/>
      <c r="E40" s="135" t="s">
        <v>39</v>
      </c>
      <c r="F40" s="135"/>
      <c r="G40" s="135"/>
      <c r="H40" s="135" t="s">
        <v>29</v>
      </c>
      <c r="I40" s="157"/>
      <c r="J40" s="139"/>
      <c r="K40" s="138">
        <f t="shared" ref="K40:K46" si="49">L40+SUM(Q40:Q40)</f>
        <v>87</v>
      </c>
      <c r="L40" s="138">
        <f t="shared" ref="L40:L46" si="50">SUM(M40:P40)</f>
        <v>58</v>
      </c>
      <c r="M40" s="138">
        <f t="shared" ref="M40:P42" si="51">S40+Y40+AE40+AK40+AQ40+AW40+BC40+BI40+BP40+BX40</f>
        <v>0</v>
      </c>
      <c r="N40" s="138">
        <f t="shared" si="51"/>
        <v>58</v>
      </c>
      <c r="O40" s="138">
        <f t="shared" si="51"/>
        <v>0</v>
      </c>
      <c r="P40" s="138">
        <f t="shared" si="51"/>
        <v>0</v>
      </c>
      <c r="Q40" s="138">
        <f t="shared" ref="Q40:Q46" si="52">W40+AC40+AI40+AO40+AU40+BA40+BG40+BM40+BU40+CC40</f>
        <v>29</v>
      </c>
      <c r="R40" s="237">
        <f t="shared" ref="R40:R46" si="53">SUM(S40:W40)</f>
        <v>0</v>
      </c>
      <c r="S40" s="139"/>
      <c r="T40" s="139"/>
      <c r="U40" s="139"/>
      <c r="V40" s="139"/>
      <c r="W40" s="139"/>
      <c r="X40" s="237">
        <f t="shared" ref="X40:X46" si="54">SUM(Y40:AC40)</f>
        <v>0</v>
      </c>
      <c r="Y40" s="139"/>
      <c r="Z40" s="139"/>
      <c r="AA40" s="139"/>
      <c r="AB40" s="139"/>
      <c r="AC40" s="139"/>
      <c r="AD40" s="237">
        <f t="shared" ref="AD40:AD46" si="55">SUM(AE40:AI40)</f>
        <v>48</v>
      </c>
      <c r="AE40" s="157"/>
      <c r="AF40" s="157">
        <v>32</v>
      </c>
      <c r="AG40" s="157"/>
      <c r="AH40" s="157"/>
      <c r="AI40" s="157">
        <v>16</v>
      </c>
      <c r="AJ40" s="237">
        <f t="shared" ref="AJ40:AJ46" si="56">SUM(AK40:AO40)</f>
        <v>39</v>
      </c>
      <c r="AK40" s="157"/>
      <c r="AL40" s="431">
        <v>26</v>
      </c>
      <c r="AM40" s="157"/>
      <c r="AN40" s="157"/>
      <c r="AO40" s="157">
        <v>13</v>
      </c>
      <c r="AP40" s="237">
        <f t="shared" ref="AP40:AP46" si="57">SUM(AQ40:AU40)</f>
        <v>0</v>
      </c>
      <c r="AQ40" s="139"/>
      <c r="AR40" s="139"/>
      <c r="AS40" s="139"/>
      <c r="AT40" s="139"/>
      <c r="AU40" s="139"/>
      <c r="AV40" s="237">
        <f t="shared" ref="AV40:AV46" si="58">SUM(AW40:BA40)</f>
        <v>0</v>
      </c>
      <c r="AW40" s="139"/>
      <c r="AX40" s="139"/>
      <c r="AY40" s="139"/>
      <c r="AZ40" s="139"/>
      <c r="BA40" s="139"/>
      <c r="BB40" s="237">
        <f t="shared" ref="BB40:BB46" si="59">SUM(BC40:BG40)</f>
        <v>0</v>
      </c>
      <c r="BC40" s="139"/>
      <c r="BD40" s="139"/>
      <c r="BE40" s="139"/>
      <c r="BF40" s="139"/>
      <c r="BG40" s="139"/>
      <c r="BH40" s="237">
        <f t="shared" ref="BH40:BH46" si="60">SUM(BI40:BM40)</f>
        <v>0</v>
      </c>
      <c r="BI40" s="139"/>
      <c r="BJ40" s="139"/>
      <c r="BK40" s="139"/>
      <c r="BL40" s="139"/>
      <c r="BM40" s="139"/>
      <c r="BN40" s="237">
        <f>SUM(BO40:BU40)</f>
        <v>0</v>
      </c>
      <c r="BO40" s="139"/>
      <c r="BP40" s="139"/>
      <c r="BQ40" s="139"/>
      <c r="BR40" s="139"/>
      <c r="BS40" s="139"/>
      <c r="BT40" s="139"/>
      <c r="BU40" s="139"/>
      <c r="BV40" s="237">
        <f>SUM(BW40:CC40)</f>
        <v>0</v>
      </c>
      <c r="BW40" s="139"/>
      <c r="BX40" s="139"/>
      <c r="BY40" s="139"/>
      <c r="BZ40" s="139"/>
      <c r="CA40" s="139"/>
      <c r="CB40" s="139"/>
      <c r="CC40" s="139"/>
      <c r="CD40" s="135" t="s">
        <v>478</v>
      </c>
      <c r="CE40" s="586" t="s">
        <v>585</v>
      </c>
    </row>
    <row r="41" spans="1:83" s="142" customFormat="1" ht="26.1" customHeight="1" x14ac:dyDescent="0.2">
      <c r="A41" s="135" t="s">
        <v>179</v>
      </c>
      <c r="B41" s="144" t="s">
        <v>304</v>
      </c>
      <c r="C41" s="134"/>
      <c r="D41" s="135"/>
      <c r="E41" s="430" t="s">
        <v>29</v>
      </c>
      <c r="F41" s="135"/>
      <c r="G41" s="135"/>
      <c r="H41" s="421" t="s">
        <v>29</v>
      </c>
      <c r="I41" s="139"/>
      <c r="J41" s="139"/>
      <c r="K41" s="138">
        <f t="shared" si="49"/>
        <v>120</v>
      </c>
      <c r="L41" s="138">
        <f t="shared" si="50"/>
        <v>80</v>
      </c>
      <c r="M41" s="138">
        <f t="shared" si="51"/>
        <v>80</v>
      </c>
      <c r="N41" s="138">
        <f t="shared" si="51"/>
        <v>0</v>
      </c>
      <c r="O41" s="138">
        <f t="shared" si="51"/>
        <v>0</v>
      </c>
      <c r="P41" s="138">
        <f t="shared" si="51"/>
        <v>0</v>
      </c>
      <c r="Q41" s="138">
        <f t="shared" si="52"/>
        <v>40</v>
      </c>
      <c r="R41" s="237">
        <f t="shared" si="53"/>
        <v>0</v>
      </c>
      <c r="S41" s="139"/>
      <c r="T41" s="139"/>
      <c r="U41" s="139"/>
      <c r="V41" s="139"/>
      <c r="W41" s="139"/>
      <c r="X41" s="237">
        <f t="shared" si="54"/>
        <v>0</v>
      </c>
      <c r="Y41" s="139"/>
      <c r="Z41" s="139"/>
      <c r="AA41" s="139"/>
      <c r="AB41" s="139"/>
      <c r="AC41" s="139"/>
      <c r="AD41" s="237">
        <f t="shared" si="55"/>
        <v>120</v>
      </c>
      <c r="AE41" s="157">
        <v>80</v>
      </c>
      <c r="AF41" s="157"/>
      <c r="AG41" s="157"/>
      <c r="AH41" s="157"/>
      <c r="AI41" s="157">
        <v>40</v>
      </c>
      <c r="AJ41" s="237">
        <f t="shared" si="56"/>
        <v>0</v>
      </c>
      <c r="AK41" s="157"/>
      <c r="AL41" s="157"/>
      <c r="AM41" s="157"/>
      <c r="AN41" s="157"/>
      <c r="AO41" s="157"/>
      <c r="AP41" s="237">
        <f t="shared" si="57"/>
        <v>0</v>
      </c>
      <c r="AQ41" s="139"/>
      <c r="AR41" s="139"/>
      <c r="AS41" s="139"/>
      <c r="AT41" s="139"/>
      <c r="AU41" s="139"/>
      <c r="AV41" s="237">
        <f t="shared" si="58"/>
        <v>0</v>
      </c>
      <c r="AW41" s="139"/>
      <c r="AX41" s="139"/>
      <c r="AY41" s="139"/>
      <c r="AZ41" s="139"/>
      <c r="BA41" s="139"/>
      <c r="BB41" s="237">
        <f t="shared" si="59"/>
        <v>0</v>
      </c>
      <c r="BC41" s="139"/>
      <c r="BD41" s="139"/>
      <c r="BE41" s="139"/>
      <c r="BF41" s="139"/>
      <c r="BG41" s="139"/>
      <c r="BH41" s="237">
        <f t="shared" si="60"/>
        <v>0</v>
      </c>
      <c r="BI41" s="139"/>
      <c r="BJ41" s="139"/>
      <c r="BK41" s="139"/>
      <c r="BL41" s="139"/>
      <c r="BM41" s="139"/>
      <c r="BN41" s="237">
        <f t="shared" ref="BN41:BN46" si="61">SUM(BO41:BU41)</f>
        <v>0</v>
      </c>
      <c r="BO41" s="139"/>
      <c r="BP41" s="139"/>
      <c r="BQ41" s="139"/>
      <c r="BR41" s="139"/>
      <c r="BS41" s="139"/>
      <c r="BT41" s="139"/>
      <c r="BU41" s="139"/>
      <c r="BV41" s="237">
        <f t="shared" ref="BV41:BV46" si="62">SUM(BW41:CC41)</f>
        <v>0</v>
      </c>
      <c r="BW41" s="139"/>
      <c r="BX41" s="139"/>
      <c r="BY41" s="139"/>
      <c r="BZ41" s="139"/>
      <c r="CA41" s="139"/>
      <c r="CB41" s="139"/>
      <c r="CC41" s="139"/>
      <c r="CD41" s="135" t="s">
        <v>478</v>
      </c>
      <c r="CE41" s="585" t="s">
        <v>585</v>
      </c>
    </row>
    <row r="42" spans="1:83" s="142" customFormat="1" ht="26.1" customHeight="1" x14ac:dyDescent="0.2">
      <c r="A42" s="135" t="s">
        <v>180</v>
      </c>
      <c r="B42" s="144" t="s">
        <v>181</v>
      </c>
      <c r="C42" s="134"/>
      <c r="D42" s="135" t="s">
        <v>39</v>
      </c>
      <c r="E42" s="135"/>
      <c r="F42" s="135"/>
      <c r="G42" s="135"/>
      <c r="H42" s="135" t="s">
        <v>29</v>
      </c>
      <c r="I42" s="139"/>
      <c r="J42" s="139"/>
      <c r="K42" s="138">
        <f t="shared" si="49"/>
        <v>237</v>
      </c>
      <c r="L42" s="138">
        <f t="shared" si="50"/>
        <v>158</v>
      </c>
      <c r="M42" s="138">
        <f t="shared" si="51"/>
        <v>130</v>
      </c>
      <c r="N42" s="138">
        <f t="shared" si="51"/>
        <v>28</v>
      </c>
      <c r="O42" s="138">
        <f t="shared" si="51"/>
        <v>0</v>
      </c>
      <c r="P42" s="138">
        <f t="shared" si="51"/>
        <v>0</v>
      </c>
      <c r="Q42" s="138">
        <f t="shared" si="52"/>
        <v>79</v>
      </c>
      <c r="R42" s="237">
        <f t="shared" si="53"/>
        <v>0</v>
      </c>
      <c r="S42" s="139"/>
      <c r="T42" s="139"/>
      <c r="U42" s="139"/>
      <c r="V42" s="139"/>
      <c r="W42" s="139"/>
      <c r="X42" s="237">
        <f t="shared" si="54"/>
        <v>0</v>
      </c>
      <c r="Y42" s="139"/>
      <c r="Z42" s="139"/>
      <c r="AA42" s="139"/>
      <c r="AB42" s="139"/>
      <c r="AC42" s="139"/>
      <c r="AD42" s="237">
        <f t="shared" si="55"/>
        <v>48</v>
      </c>
      <c r="AE42" s="157">
        <v>32</v>
      </c>
      <c r="AF42" s="157"/>
      <c r="AG42" s="157"/>
      <c r="AH42" s="157"/>
      <c r="AI42" s="157">
        <v>16</v>
      </c>
      <c r="AJ42" s="237">
        <f t="shared" si="56"/>
        <v>189</v>
      </c>
      <c r="AK42" s="157">
        <v>98</v>
      </c>
      <c r="AL42" s="157">
        <v>28</v>
      </c>
      <c r="AM42" s="157"/>
      <c r="AN42" s="157"/>
      <c r="AO42" s="157">
        <v>63</v>
      </c>
      <c r="AP42" s="237">
        <f t="shared" si="57"/>
        <v>0</v>
      </c>
      <c r="AQ42" s="139"/>
      <c r="AR42" s="139"/>
      <c r="AS42" s="139"/>
      <c r="AT42" s="139"/>
      <c r="AU42" s="139"/>
      <c r="AV42" s="237">
        <f t="shared" si="58"/>
        <v>0</v>
      </c>
      <c r="AW42" s="139"/>
      <c r="AX42" s="139"/>
      <c r="AY42" s="139"/>
      <c r="AZ42" s="139"/>
      <c r="BA42" s="139"/>
      <c r="BB42" s="237">
        <f t="shared" si="59"/>
        <v>0</v>
      </c>
      <c r="BC42" s="139"/>
      <c r="BD42" s="139"/>
      <c r="BE42" s="139"/>
      <c r="BF42" s="139"/>
      <c r="BG42" s="139"/>
      <c r="BH42" s="237">
        <f t="shared" si="60"/>
        <v>0</v>
      </c>
      <c r="BI42" s="139"/>
      <c r="BJ42" s="139"/>
      <c r="BK42" s="139"/>
      <c r="BL42" s="139"/>
      <c r="BM42" s="139"/>
      <c r="BN42" s="237">
        <f t="shared" si="61"/>
        <v>0</v>
      </c>
      <c r="BO42" s="139"/>
      <c r="BP42" s="139"/>
      <c r="BQ42" s="139"/>
      <c r="BR42" s="139"/>
      <c r="BS42" s="139"/>
      <c r="BT42" s="139"/>
      <c r="BU42" s="139"/>
      <c r="BV42" s="237">
        <f t="shared" si="62"/>
        <v>0</v>
      </c>
      <c r="BW42" s="139"/>
      <c r="BX42" s="139"/>
      <c r="BY42" s="139"/>
      <c r="BZ42" s="139"/>
      <c r="CA42" s="139"/>
      <c r="CB42" s="139"/>
      <c r="CC42" s="139"/>
      <c r="CD42" s="135" t="s">
        <v>479</v>
      </c>
      <c r="CE42" s="585" t="s">
        <v>585</v>
      </c>
    </row>
    <row r="43" spans="1:83" s="142" customFormat="1" ht="26.1" customHeight="1" x14ac:dyDescent="0.2">
      <c r="A43" s="135" t="s">
        <v>182</v>
      </c>
      <c r="B43" s="144" t="s">
        <v>282</v>
      </c>
      <c r="C43" s="134"/>
      <c r="D43" s="135"/>
      <c r="E43" s="135" t="s">
        <v>29</v>
      </c>
      <c r="F43" s="135"/>
      <c r="G43" s="135"/>
      <c r="H43" s="135"/>
      <c r="I43" s="139"/>
      <c r="J43" s="139"/>
      <c r="K43" s="138">
        <f t="shared" si="49"/>
        <v>72</v>
      </c>
      <c r="L43" s="138">
        <f t="shared" si="50"/>
        <v>48</v>
      </c>
      <c r="M43" s="138">
        <f t="shared" ref="M43:O46" si="63">S43+Y43+AE43+AK43+AQ43+AW43+BC43+BI43+BP43+BX43</f>
        <v>48</v>
      </c>
      <c r="N43" s="138">
        <f t="shared" si="63"/>
        <v>0</v>
      </c>
      <c r="O43" s="138">
        <f t="shared" si="63"/>
        <v>0</v>
      </c>
      <c r="P43" s="138"/>
      <c r="Q43" s="138">
        <f t="shared" si="52"/>
        <v>24</v>
      </c>
      <c r="R43" s="237">
        <f t="shared" si="53"/>
        <v>0</v>
      </c>
      <c r="S43" s="139"/>
      <c r="T43" s="139"/>
      <c r="U43" s="139"/>
      <c r="V43" s="139"/>
      <c r="W43" s="139"/>
      <c r="X43" s="237">
        <f t="shared" si="54"/>
        <v>0</v>
      </c>
      <c r="Y43" s="139"/>
      <c r="Z43" s="139"/>
      <c r="AA43" s="139"/>
      <c r="AB43" s="139"/>
      <c r="AC43" s="139"/>
      <c r="AD43" s="237">
        <f t="shared" si="55"/>
        <v>72</v>
      </c>
      <c r="AE43" s="157">
        <v>48</v>
      </c>
      <c r="AF43" s="157"/>
      <c r="AG43" s="157"/>
      <c r="AH43" s="157"/>
      <c r="AI43" s="157">
        <v>24</v>
      </c>
      <c r="AJ43" s="237">
        <f t="shared" si="56"/>
        <v>0</v>
      </c>
      <c r="AK43" s="139"/>
      <c r="AL43" s="139"/>
      <c r="AM43" s="139"/>
      <c r="AN43" s="139"/>
      <c r="AO43" s="139"/>
      <c r="AP43" s="237">
        <f t="shared" si="57"/>
        <v>0</v>
      </c>
      <c r="AQ43" s="139"/>
      <c r="AR43" s="139"/>
      <c r="AS43" s="139"/>
      <c r="AT43" s="139"/>
      <c r="AU43" s="139"/>
      <c r="AV43" s="237">
        <f t="shared" si="58"/>
        <v>0</v>
      </c>
      <c r="AW43" s="139"/>
      <c r="AX43" s="139"/>
      <c r="AY43" s="139"/>
      <c r="AZ43" s="139"/>
      <c r="BA43" s="139"/>
      <c r="BB43" s="237">
        <f t="shared" si="59"/>
        <v>0</v>
      </c>
      <c r="BC43" s="139"/>
      <c r="BD43" s="139"/>
      <c r="BE43" s="139"/>
      <c r="BF43" s="139"/>
      <c r="BG43" s="139"/>
      <c r="BH43" s="237">
        <f t="shared" si="60"/>
        <v>0</v>
      </c>
      <c r="BI43" s="139"/>
      <c r="BJ43" s="139"/>
      <c r="BK43" s="139"/>
      <c r="BL43" s="139"/>
      <c r="BM43" s="139"/>
      <c r="BN43" s="237">
        <f t="shared" si="61"/>
        <v>0</v>
      </c>
      <c r="BO43" s="139"/>
      <c r="BP43" s="139"/>
      <c r="BQ43" s="139"/>
      <c r="BR43" s="139"/>
      <c r="BS43" s="139"/>
      <c r="BT43" s="139"/>
      <c r="BU43" s="139"/>
      <c r="BV43" s="237">
        <f t="shared" si="62"/>
        <v>0</v>
      </c>
      <c r="BW43" s="139"/>
      <c r="BX43" s="139"/>
      <c r="BY43" s="139"/>
      <c r="BZ43" s="139"/>
      <c r="CA43" s="139"/>
      <c r="CB43" s="139"/>
      <c r="CC43" s="139"/>
      <c r="CD43" s="135" t="s">
        <v>479</v>
      </c>
      <c r="CE43" s="585" t="s">
        <v>585</v>
      </c>
    </row>
    <row r="44" spans="1:83" s="142" customFormat="1" ht="26.1" customHeight="1" x14ac:dyDescent="0.2">
      <c r="A44" s="135" t="s">
        <v>183</v>
      </c>
      <c r="B44" s="144" t="s">
        <v>305</v>
      </c>
      <c r="C44" s="134"/>
      <c r="D44" s="135"/>
      <c r="E44" s="135" t="s">
        <v>39</v>
      </c>
      <c r="F44" s="135"/>
      <c r="G44" s="135"/>
      <c r="H44" s="135"/>
      <c r="I44" s="139"/>
      <c r="J44" s="139"/>
      <c r="K44" s="138">
        <f t="shared" si="49"/>
        <v>63</v>
      </c>
      <c r="L44" s="138">
        <f t="shared" si="50"/>
        <v>42</v>
      </c>
      <c r="M44" s="138">
        <f t="shared" si="63"/>
        <v>42</v>
      </c>
      <c r="N44" s="138">
        <f t="shared" si="63"/>
        <v>0</v>
      </c>
      <c r="O44" s="138">
        <f t="shared" si="63"/>
        <v>0</v>
      </c>
      <c r="P44" s="138">
        <f>V44+AB44+AH44+AN44+AT44+AZ44+BF44+BL44+BS44+CA44</f>
        <v>0</v>
      </c>
      <c r="Q44" s="138">
        <f t="shared" si="52"/>
        <v>21</v>
      </c>
      <c r="R44" s="237">
        <f t="shared" si="53"/>
        <v>0</v>
      </c>
      <c r="S44" s="139"/>
      <c r="T44" s="139"/>
      <c r="U44" s="139"/>
      <c r="V44" s="139"/>
      <c r="W44" s="139"/>
      <c r="X44" s="237">
        <f t="shared" si="54"/>
        <v>0</v>
      </c>
      <c r="Y44" s="139"/>
      <c r="Z44" s="139"/>
      <c r="AA44" s="139"/>
      <c r="AB44" s="139"/>
      <c r="AC44" s="139"/>
      <c r="AD44" s="237">
        <f t="shared" si="55"/>
        <v>0</v>
      </c>
      <c r="AE44" s="157"/>
      <c r="AF44" s="157"/>
      <c r="AG44" s="157"/>
      <c r="AH44" s="157"/>
      <c r="AI44" s="157"/>
      <c r="AJ44" s="237">
        <f t="shared" si="56"/>
        <v>63</v>
      </c>
      <c r="AK44" s="139">
        <v>42</v>
      </c>
      <c r="AL44" s="139"/>
      <c r="AM44" s="139"/>
      <c r="AN44" s="139"/>
      <c r="AO44" s="139">
        <v>21</v>
      </c>
      <c r="AP44" s="237">
        <f t="shared" si="57"/>
        <v>0</v>
      </c>
      <c r="AQ44" s="139"/>
      <c r="AR44" s="139"/>
      <c r="AS44" s="139"/>
      <c r="AT44" s="139"/>
      <c r="AU44" s="139"/>
      <c r="AV44" s="237">
        <f t="shared" si="58"/>
        <v>0</v>
      </c>
      <c r="AW44" s="139"/>
      <c r="AX44" s="139"/>
      <c r="AY44" s="139"/>
      <c r="AZ44" s="139"/>
      <c r="BA44" s="139"/>
      <c r="BB44" s="237">
        <f t="shared" si="59"/>
        <v>0</v>
      </c>
      <c r="BC44" s="139"/>
      <c r="BD44" s="139"/>
      <c r="BE44" s="139"/>
      <c r="BF44" s="139"/>
      <c r="BG44" s="139"/>
      <c r="BH44" s="237">
        <f t="shared" si="60"/>
        <v>0</v>
      </c>
      <c r="BI44" s="139"/>
      <c r="BJ44" s="139"/>
      <c r="BK44" s="139"/>
      <c r="BL44" s="139"/>
      <c r="BM44" s="139"/>
      <c r="BN44" s="237">
        <f t="shared" si="61"/>
        <v>0</v>
      </c>
      <c r="BO44" s="139"/>
      <c r="BP44" s="139"/>
      <c r="BQ44" s="139"/>
      <c r="BR44" s="139"/>
      <c r="BS44" s="139"/>
      <c r="BT44" s="139"/>
      <c r="BU44" s="139"/>
      <c r="BV44" s="237">
        <f t="shared" si="62"/>
        <v>0</v>
      </c>
      <c r="BW44" s="139"/>
      <c r="BX44" s="139"/>
      <c r="BY44" s="139"/>
      <c r="BZ44" s="139"/>
      <c r="CA44" s="139"/>
      <c r="CB44" s="139"/>
      <c r="CC44" s="139"/>
      <c r="CD44" s="135" t="s">
        <v>478</v>
      </c>
      <c r="CE44" s="585" t="s">
        <v>585</v>
      </c>
    </row>
    <row r="45" spans="1:83" s="142" customFormat="1" ht="26.1" customHeight="1" x14ac:dyDescent="0.2">
      <c r="A45" s="135" t="s">
        <v>184</v>
      </c>
      <c r="B45" s="144" t="s">
        <v>277</v>
      </c>
      <c r="C45" s="134"/>
      <c r="D45" s="430" t="s">
        <v>29</v>
      </c>
      <c r="E45" s="135"/>
      <c r="F45" s="135"/>
      <c r="G45" s="135"/>
      <c r="H45" s="421" t="s">
        <v>29</v>
      </c>
      <c r="I45" s="139"/>
      <c r="J45" s="139"/>
      <c r="K45" s="138">
        <f t="shared" si="49"/>
        <v>120</v>
      </c>
      <c r="L45" s="138">
        <f t="shared" si="50"/>
        <v>80</v>
      </c>
      <c r="M45" s="138">
        <f t="shared" si="63"/>
        <v>80</v>
      </c>
      <c r="N45" s="138">
        <f t="shared" si="63"/>
        <v>0</v>
      </c>
      <c r="O45" s="138">
        <f t="shared" si="63"/>
        <v>0</v>
      </c>
      <c r="P45" s="138">
        <f>V45+AB45+AH45+AN45+AT45+AZ45+BF45+BL45+BS45+CA45</f>
        <v>0</v>
      </c>
      <c r="Q45" s="138">
        <f t="shared" si="52"/>
        <v>40</v>
      </c>
      <c r="R45" s="237">
        <f t="shared" si="53"/>
        <v>0</v>
      </c>
      <c r="S45" s="139"/>
      <c r="T45" s="139"/>
      <c r="U45" s="139"/>
      <c r="V45" s="139"/>
      <c r="W45" s="139"/>
      <c r="X45" s="237">
        <f t="shared" si="54"/>
        <v>0</v>
      </c>
      <c r="Y45" s="139"/>
      <c r="Z45" s="139"/>
      <c r="AA45" s="139"/>
      <c r="AB45" s="139"/>
      <c r="AC45" s="139"/>
      <c r="AD45" s="237">
        <f t="shared" si="55"/>
        <v>120</v>
      </c>
      <c r="AE45" s="139">
        <v>80</v>
      </c>
      <c r="AF45" s="139"/>
      <c r="AG45" s="139"/>
      <c r="AH45" s="139"/>
      <c r="AI45" s="139">
        <v>40</v>
      </c>
      <c r="AJ45" s="237">
        <f t="shared" si="56"/>
        <v>0</v>
      </c>
      <c r="AK45" s="139"/>
      <c r="AL45" s="139"/>
      <c r="AM45" s="139"/>
      <c r="AN45" s="139"/>
      <c r="AO45" s="139"/>
      <c r="AP45" s="237">
        <f t="shared" si="57"/>
        <v>0</v>
      </c>
      <c r="AQ45" s="139"/>
      <c r="AR45" s="139"/>
      <c r="AS45" s="139"/>
      <c r="AT45" s="139"/>
      <c r="AU45" s="139"/>
      <c r="AV45" s="237">
        <f t="shared" si="58"/>
        <v>0</v>
      </c>
      <c r="AW45" s="139"/>
      <c r="AX45" s="139"/>
      <c r="AY45" s="139"/>
      <c r="AZ45" s="139"/>
      <c r="BA45" s="139"/>
      <c r="BB45" s="237">
        <f t="shared" si="59"/>
        <v>0</v>
      </c>
      <c r="BC45" s="139"/>
      <c r="BD45" s="139"/>
      <c r="BE45" s="139"/>
      <c r="BF45" s="139"/>
      <c r="BG45" s="139"/>
      <c r="BH45" s="237">
        <f t="shared" si="60"/>
        <v>0</v>
      </c>
      <c r="BI45" s="139"/>
      <c r="BJ45" s="139"/>
      <c r="BK45" s="139"/>
      <c r="BL45" s="139"/>
      <c r="BM45" s="139"/>
      <c r="BN45" s="237">
        <f t="shared" si="61"/>
        <v>0</v>
      </c>
      <c r="BO45" s="139"/>
      <c r="BP45" s="139"/>
      <c r="BQ45" s="139"/>
      <c r="BR45" s="139"/>
      <c r="BS45" s="139"/>
      <c r="BT45" s="139"/>
      <c r="BU45" s="139"/>
      <c r="BV45" s="237">
        <f t="shared" si="62"/>
        <v>0</v>
      </c>
      <c r="BW45" s="139"/>
      <c r="BX45" s="139"/>
      <c r="BY45" s="139"/>
      <c r="BZ45" s="139"/>
      <c r="CA45" s="139"/>
      <c r="CB45" s="139"/>
      <c r="CC45" s="139"/>
      <c r="CD45" s="135" t="s">
        <v>480</v>
      </c>
      <c r="CE45" s="585" t="s">
        <v>587</v>
      </c>
    </row>
    <row r="46" spans="1:83" s="142" customFormat="1" ht="26.1" customHeight="1" x14ac:dyDescent="0.2">
      <c r="A46" s="135" t="s">
        <v>185</v>
      </c>
      <c r="B46" s="144" t="s">
        <v>129</v>
      </c>
      <c r="C46" s="134"/>
      <c r="D46" s="135"/>
      <c r="E46" s="135" t="s">
        <v>41</v>
      </c>
      <c r="F46" s="135"/>
      <c r="G46" s="135"/>
      <c r="H46" s="145" t="s">
        <v>40</v>
      </c>
      <c r="I46" s="157"/>
      <c r="J46" s="139">
        <v>68</v>
      </c>
      <c r="K46" s="138">
        <f t="shared" si="49"/>
        <v>105</v>
      </c>
      <c r="L46" s="138">
        <f t="shared" si="50"/>
        <v>70</v>
      </c>
      <c r="M46" s="138">
        <f t="shared" si="63"/>
        <v>70</v>
      </c>
      <c r="N46" s="138">
        <f t="shared" si="63"/>
        <v>0</v>
      </c>
      <c r="O46" s="138">
        <f t="shared" si="63"/>
        <v>0</v>
      </c>
      <c r="P46" s="138">
        <f>V46+AB46+AH46+AN46+AT46+AZ46+BF46+BL46+BS46+CA46</f>
        <v>0</v>
      </c>
      <c r="Q46" s="138">
        <f t="shared" si="52"/>
        <v>35</v>
      </c>
      <c r="R46" s="237">
        <f t="shared" si="53"/>
        <v>0</v>
      </c>
      <c r="S46" s="139"/>
      <c r="T46" s="139"/>
      <c r="U46" s="139"/>
      <c r="V46" s="139"/>
      <c r="W46" s="139"/>
      <c r="X46" s="237">
        <f t="shared" si="54"/>
        <v>0</v>
      </c>
      <c r="Y46" s="139"/>
      <c r="Z46" s="139"/>
      <c r="AA46" s="139"/>
      <c r="AB46" s="139"/>
      <c r="AC46" s="139"/>
      <c r="AD46" s="237">
        <f t="shared" si="55"/>
        <v>0</v>
      </c>
      <c r="AE46" s="139"/>
      <c r="AF46" s="139"/>
      <c r="AG46" s="139"/>
      <c r="AH46" s="139"/>
      <c r="AI46" s="139"/>
      <c r="AJ46" s="237">
        <f t="shared" si="56"/>
        <v>0</v>
      </c>
      <c r="AK46" s="139"/>
      <c r="AL46" s="157"/>
      <c r="AM46" s="139"/>
      <c r="AN46" s="139"/>
      <c r="AO46" s="139"/>
      <c r="AP46" s="237">
        <f t="shared" si="57"/>
        <v>54</v>
      </c>
      <c r="AQ46" s="157">
        <v>36</v>
      </c>
      <c r="AR46" s="139"/>
      <c r="AS46" s="139"/>
      <c r="AT46" s="139"/>
      <c r="AU46" s="139">
        <v>18</v>
      </c>
      <c r="AV46" s="237">
        <f t="shared" si="58"/>
        <v>51</v>
      </c>
      <c r="AW46" s="157">
        <v>34</v>
      </c>
      <c r="AX46" s="139"/>
      <c r="AY46" s="139"/>
      <c r="AZ46" s="139"/>
      <c r="BA46" s="139">
        <v>17</v>
      </c>
      <c r="BB46" s="237">
        <f t="shared" si="59"/>
        <v>0</v>
      </c>
      <c r="BC46" s="139"/>
      <c r="BD46" s="139"/>
      <c r="BE46" s="139"/>
      <c r="BF46" s="139"/>
      <c r="BG46" s="139"/>
      <c r="BH46" s="237">
        <f t="shared" si="60"/>
        <v>0</v>
      </c>
      <c r="BI46" s="139"/>
      <c r="BJ46" s="139"/>
      <c r="BK46" s="139"/>
      <c r="BL46" s="139"/>
      <c r="BM46" s="139"/>
      <c r="BN46" s="237">
        <f t="shared" si="61"/>
        <v>0</v>
      </c>
      <c r="BO46" s="139"/>
      <c r="BP46" s="139"/>
      <c r="BQ46" s="139"/>
      <c r="BR46" s="139"/>
      <c r="BS46" s="139"/>
      <c r="BT46" s="139"/>
      <c r="BU46" s="139"/>
      <c r="BV46" s="237">
        <f t="shared" si="62"/>
        <v>0</v>
      </c>
      <c r="BW46" s="139"/>
      <c r="BX46" s="139"/>
      <c r="BY46" s="139"/>
      <c r="BZ46" s="139"/>
      <c r="CA46" s="139"/>
      <c r="CB46" s="139"/>
      <c r="CC46" s="139"/>
      <c r="CD46" s="135" t="s">
        <v>476</v>
      </c>
      <c r="CE46" s="585" t="s">
        <v>588</v>
      </c>
    </row>
    <row r="47" spans="1:83" s="123" customFormat="1" ht="26.1" customHeight="1" x14ac:dyDescent="0.2">
      <c r="A47" s="501" t="s">
        <v>168</v>
      </c>
      <c r="B47" s="698" t="s">
        <v>173</v>
      </c>
      <c r="C47" s="698"/>
      <c r="D47" s="698"/>
      <c r="E47" s="698"/>
      <c r="F47" s="698"/>
      <c r="G47" s="698"/>
      <c r="H47" s="698"/>
      <c r="I47" s="274">
        <v>1392</v>
      </c>
      <c r="J47" s="274">
        <v>928</v>
      </c>
      <c r="K47" s="259">
        <f>SUM(K48+K61+K66+K70)</f>
        <v>1576</v>
      </c>
      <c r="L47" s="259">
        <f t="shared" ref="L47:Q47" si="64">L48+L61+L66+L70</f>
        <v>1051</v>
      </c>
      <c r="M47" s="259">
        <f t="shared" si="64"/>
        <v>669</v>
      </c>
      <c r="N47" s="259">
        <f t="shared" si="64"/>
        <v>328</v>
      </c>
      <c r="O47" s="259">
        <f t="shared" si="64"/>
        <v>54</v>
      </c>
      <c r="P47" s="259">
        <f t="shared" si="64"/>
        <v>0</v>
      </c>
      <c r="Q47" s="259">
        <f t="shared" si="64"/>
        <v>525</v>
      </c>
      <c r="R47" s="259">
        <f t="shared" ref="R47:BB47" si="65">SUM(R48:R74)/2</f>
        <v>0</v>
      </c>
      <c r="S47" s="259">
        <f t="shared" si="65"/>
        <v>0</v>
      </c>
      <c r="T47" s="259">
        <f t="shared" si="65"/>
        <v>0</v>
      </c>
      <c r="U47" s="259">
        <f t="shared" si="65"/>
        <v>0</v>
      </c>
      <c r="V47" s="259">
        <f t="shared" si="65"/>
        <v>0</v>
      </c>
      <c r="W47" s="259">
        <f t="shared" si="65"/>
        <v>0</v>
      </c>
      <c r="X47" s="259">
        <f t="shared" si="65"/>
        <v>0</v>
      </c>
      <c r="Y47" s="259">
        <f t="shared" si="65"/>
        <v>0</v>
      </c>
      <c r="Z47" s="259">
        <f t="shared" si="65"/>
        <v>0</v>
      </c>
      <c r="AA47" s="259">
        <f t="shared" si="65"/>
        <v>0</v>
      </c>
      <c r="AB47" s="259">
        <f t="shared" si="65"/>
        <v>0</v>
      </c>
      <c r="AC47" s="259">
        <f t="shared" si="65"/>
        <v>0</v>
      </c>
      <c r="AD47" s="259">
        <f t="shared" si="65"/>
        <v>36</v>
      </c>
      <c r="AE47" s="259">
        <f t="shared" si="65"/>
        <v>0</v>
      </c>
      <c r="AF47" s="259">
        <f t="shared" si="65"/>
        <v>24</v>
      </c>
      <c r="AG47" s="259">
        <f t="shared" si="65"/>
        <v>0</v>
      </c>
      <c r="AH47" s="259">
        <f t="shared" si="65"/>
        <v>0</v>
      </c>
      <c r="AI47" s="259">
        <f t="shared" si="65"/>
        <v>12</v>
      </c>
      <c r="AJ47" s="259">
        <f t="shared" si="65"/>
        <v>183</v>
      </c>
      <c r="AK47" s="259">
        <f t="shared" si="65"/>
        <v>48</v>
      </c>
      <c r="AL47" s="259">
        <f t="shared" si="65"/>
        <v>74</v>
      </c>
      <c r="AM47" s="259">
        <f t="shared" si="65"/>
        <v>0</v>
      </c>
      <c r="AN47" s="259">
        <f t="shared" si="65"/>
        <v>0</v>
      </c>
      <c r="AO47" s="259">
        <f t="shared" si="65"/>
        <v>61</v>
      </c>
      <c r="AP47" s="259">
        <f t="shared" si="65"/>
        <v>373</v>
      </c>
      <c r="AQ47" s="259">
        <f t="shared" si="65"/>
        <v>188</v>
      </c>
      <c r="AR47" s="259">
        <f t="shared" si="65"/>
        <v>32</v>
      </c>
      <c r="AS47" s="259">
        <f t="shared" si="65"/>
        <v>24</v>
      </c>
      <c r="AT47" s="259">
        <f t="shared" si="65"/>
        <v>0</v>
      </c>
      <c r="AU47" s="259">
        <f t="shared" si="65"/>
        <v>129</v>
      </c>
      <c r="AV47" s="259">
        <f t="shared" si="65"/>
        <v>208</v>
      </c>
      <c r="AW47" s="259">
        <f t="shared" si="65"/>
        <v>111</v>
      </c>
      <c r="AX47" s="259">
        <f t="shared" si="65"/>
        <v>22</v>
      </c>
      <c r="AY47" s="259">
        <f t="shared" si="65"/>
        <v>0</v>
      </c>
      <c r="AZ47" s="259">
        <f t="shared" si="65"/>
        <v>0</v>
      </c>
      <c r="BA47" s="259">
        <f t="shared" si="65"/>
        <v>75</v>
      </c>
      <c r="BB47" s="259">
        <f t="shared" si="65"/>
        <v>0</v>
      </c>
      <c r="BC47" s="259">
        <f t="shared" ref="BC47:BM47" si="66">SUM(BC48:BC74)/2</f>
        <v>0</v>
      </c>
      <c r="BD47" s="259">
        <f t="shared" si="66"/>
        <v>0</v>
      </c>
      <c r="BE47" s="259">
        <f t="shared" si="66"/>
        <v>0</v>
      </c>
      <c r="BF47" s="259">
        <f t="shared" si="66"/>
        <v>0</v>
      </c>
      <c r="BG47" s="259">
        <f t="shared" si="66"/>
        <v>0</v>
      </c>
      <c r="BH47" s="259">
        <f t="shared" si="66"/>
        <v>776</v>
      </c>
      <c r="BI47" s="259">
        <f t="shared" si="66"/>
        <v>322</v>
      </c>
      <c r="BJ47" s="259">
        <f t="shared" si="66"/>
        <v>176</v>
      </c>
      <c r="BK47" s="259">
        <f t="shared" si="66"/>
        <v>30</v>
      </c>
      <c r="BL47" s="259">
        <f t="shared" si="66"/>
        <v>0</v>
      </c>
      <c r="BM47" s="259">
        <f t="shared" si="66"/>
        <v>248</v>
      </c>
      <c r="BN47" s="259">
        <f t="shared" ref="BN47:CC47" si="67">SUM(BN48:BN74)/2</f>
        <v>0</v>
      </c>
      <c r="BO47" s="259">
        <f t="shared" si="67"/>
        <v>0</v>
      </c>
      <c r="BP47" s="259">
        <f t="shared" si="67"/>
        <v>0</v>
      </c>
      <c r="BQ47" s="259">
        <f t="shared" si="67"/>
        <v>0</v>
      </c>
      <c r="BR47" s="259">
        <f t="shared" si="67"/>
        <v>0</v>
      </c>
      <c r="BS47" s="259">
        <f t="shared" si="67"/>
        <v>0</v>
      </c>
      <c r="BT47" s="259">
        <f t="shared" si="67"/>
        <v>0</v>
      </c>
      <c r="BU47" s="259">
        <f t="shared" si="67"/>
        <v>0</v>
      </c>
      <c r="BV47" s="259">
        <f t="shared" si="67"/>
        <v>0</v>
      </c>
      <c r="BW47" s="259">
        <f t="shared" si="67"/>
        <v>0</v>
      </c>
      <c r="BX47" s="259">
        <f t="shared" si="67"/>
        <v>0</v>
      </c>
      <c r="BY47" s="259">
        <f t="shared" si="67"/>
        <v>0</v>
      </c>
      <c r="BZ47" s="259">
        <f t="shared" si="67"/>
        <v>0</v>
      </c>
      <c r="CA47" s="259">
        <f t="shared" si="67"/>
        <v>0</v>
      </c>
      <c r="CB47" s="259">
        <f t="shared" si="67"/>
        <v>0</v>
      </c>
      <c r="CC47" s="259">
        <f t="shared" si="67"/>
        <v>0</v>
      </c>
      <c r="CD47" s="275"/>
      <c r="CE47" s="275"/>
    </row>
    <row r="48" spans="1:83" s="142" customFormat="1" ht="26.1" customHeight="1" x14ac:dyDescent="0.2">
      <c r="A48" s="502" t="s">
        <v>549</v>
      </c>
      <c r="B48" s="647" t="s">
        <v>551</v>
      </c>
      <c r="C48" s="647"/>
      <c r="D48" s="647"/>
      <c r="E48" s="647"/>
      <c r="F48" s="647"/>
      <c r="G48" s="647"/>
      <c r="H48" s="647"/>
      <c r="I48" s="503"/>
      <c r="J48" s="503"/>
      <c r="K48" s="482">
        <f>L48+Q48</f>
        <v>1084</v>
      </c>
      <c r="L48" s="482">
        <f t="shared" ref="L48:Q48" si="68">SUM(L50:L59)</f>
        <v>720</v>
      </c>
      <c r="M48" s="482">
        <f t="shared" si="68"/>
        <v>532</v>
      </c>
      <c r="N48" s="482">
        <f t="shared" si="68"/>
        <v>134</v>
      </c>
      <c r="O48" s="482">
        <f t="shared" si="68"/>
        <v>54</v>
      </c>
      <c r="P48" s="482">
        <f t="shared" si="68"/>
        <v>0</v>
      </c>
      <c r="Q48" s="482">
        <f t="shared" si="68"/>
        <v>364</v>
      </c>
      <c r="R48" s="482">
        <f t="shared" ref="R48:R59" si="69">SUM(S48:W48)</f>
        <v>0</v>
      </c>
      <c r="S48" s="482">
        <f>SUM(S50:S59)</f>
        <v>0</v>
      </c>
      <c r="T48" s="482">
        <f>SUM(T50:T59)</f>
        <v>0</v>
      </c>
      <c r="U48" s="482">
        <f>SUM(U50:U59)</f>
        <v>0</v>
      </c>
      <c r="V48" s="482">
        <f>SUM(V50:V59)</f>
        <v>0</v>
      </c>
      <c r="W48" s="482">
        <f>SUM(W50:W59)</f>
        <v>0</v>
      </c>
      <c r="X48" s="482">
        <f t="shared" ref="X48:X59" si="70">SUM(Y48:AC48)</f>
        <v>0</v>
      </c>
      <c r="Y48" s="482">
        <f>SUM(Y50:Y59)</f>
        <v>0</v>
      </c>
      <c r="Z48" s="482">
        <f>SUM(Z50:Z59)</f>
        <v>0</v>
      </c>
      <c r="AA48" s="482">
        <f>SUM(AA50:AA59)</f>
        <v>0</v>
      </c>
      <c r="AB48" s="482">
        <f>SUM(AB50:AB59)</f>
        <v>0</v>
      </c>
      <c r="AC48" s="482">
        <f>SUM(AC50:AC59)</f>
        <v>0</v>
      </c>
      <c r="AD48" s="482">
        <f t="shared" ref="AD48:AD59" si="71">SUM(AE48:AI48)</f>
        <v>0</v>
      </c>
      <c r="AE48" s="482">
        <f>SUM(AE50:AE59)</f>
        <v>0</v>
      </c>
      <c r="AF48" s="482">
        <f>SUM(AF50:AF59)</f>
        <v>0</v>
      </c>
      <c r="AG48" s="482">
        <f>SUM(AG50:AG59)</f>
        <v>0</v>
      </c>
      <c r="AH48" s="482">
        <f>SUM(AH50:AH59)</f>
        <v>0</v>
      </c>
      <c r="AI48" s="482">
        <f>SUM(AI50:AI59)</f>
        <v>0</v>
      </c>
      <c r="AJ48" s="482">
        <f t="shared" ref="AJ48:AJ59" si="72">SUM(AK48:AO48)</f>
        <v>96</v>
      </c>
      <c r="AK48" s="482">
        <f>SUM(AK50:AK59)</f>
        <v>48</v>
      </c>
      <c r="AL48" s="482">
        <f>SUM(AL50:AL59)</f>
        <v>16</v>
      </c>
      <c r="AM48" s="482">
        <f>SUM(AM50:AM59)</f>
        <v>0</v>
      </c>
      <c r="AN48" s="482">
        <f>SUM(AN50:AN59)</f>
        <v>0</v>
      </c>
      <c r="AO48" s="482">
        <f>SUM(AO50:AO59)</f>
        <v>32</v>
      </c>
      <c r="AP48" s="482">
        <f t="shared" ref="AP48:AP59" si="73">SUM(AQ48:AU48)</f>
        <v>277</v>
      </c>
      <c r="AQ48" s="482">
        <f>SUM(AQ50:AQ59)</f>
        <v>136</v>
      </c>
      <c r="AR48" s="482">
        <f>SUM(AR50:AR59)</f>
        <v>20</v>
      </c>
      <c r="AS48" s="482">
        <f>SUM(AS50:AS59)</f>
        <v>24</v>
      </c>
      <c r="AT48" s="482">
        <f>SUM(AT50:AT59)</f>
        <v>0</v>
      </c>
      <c r="AU48" s="482">
        <f>SUM(AU50:AU59)</f>
        <v>97</v>
      </c>
      <c r="AV48" s="482">
        <f t="shared" ref="AV48:AV59" si="74">SUM(AW48:BA48)</f>
        <v>208</v>
      </c>
      <c r="AW48" s="482">
        <f>SUM(AW50:AW59)</f>
        <v>111</v>
      </c>
      <c r="AX48" s="482">
        <f>SUM(AX50:AX59)</f>
        <v>22</v>
      </c>
      <c r="AY48" s="482">
        <f>SUM(AY50:AY59)</f>
        <v>0</v>
      </c>
      <c r="AZ48" s="482">
        <f>SUM(AZ50:AZ59)</f>
        <v>0</v>
      </c>
      <c r="BA48" s="482">
        <f>SUM(BA50:BA59)</f>
        <v>75</v>
      </c>
      <c r="BB48" s="482">
        <f t="shared" ref="BB48:BB59" si="75">SUM(BC48:BG48)</f>
        <v>0</v>
      </c>
      <c r="BC48" s="482">
        <f t="shared" ref="BC48:BG48" si="76">SUM(BC50:BC59)</f>
        <v>0</v>
      </c>
      <c r="BD48" s="482">
        <f t="shared" si="76"/>
        <v>0</v>
      </c>
      <c r="BE48" s="482">
        <f t="shared" si="76"/>
        <v>0</v>
      </c>
      <c r="BF48" s="482">
        <f t="shared" si="76"/>
        <v>0</v>
      </c>
      <c r="BG48" s="482">
        <f t="shared" si="76"/>
        <v>0</v>
      </c>
      <c r="BH48" s="482">
        <f t="shared" ref="BH48:BH59" si="77">SUM(BI48:BM48)</f>
        <v>503</v>
      </c>
      <c r="BI48" s="482">
        <f t="shared" ref="BI48:BM48" si="78">SUM(BI50:BI59)</f>
        <v>237</v>
      </c>
      <c r="BJ48" s="482">
        <f t="shared" si="78"/>
        <v>76</v>
      </c>
      <c r="BK48" s="482">
        <f t="shared" si="78"/>
        <v>30</v>
      </c>
      <c r="BL48" s="482">
        <f t="shared" si="78"/>
        <v>0</v>
      </c>
      <c r="BM48" s="482">
        <f t="shared" si="78"/>
        <v>160</v>
      </c>
      <c r="BN48" s="482">
        <f>SUM(BO48:BU48)</f>
        <v>0</v>
      </c>
      <c r="BO48" s="482">
        <f t="shared" ref="BO48:BU48" si="79">SUM(BO50:BO59)</f>
        <v>0</v>
      </c>
      <c r="BP48" s="482">
        <f t="shared" si="79"/>
        <v>0</v>
      </c>
      <c r="BQ48" s="482">
        <f t="shared" si="79"/>
        <v>0</v>
      </c>
      <c r="BR48" s="482">
        <f t="shared" si="79"/>
        <v>0</v>
      </c>
      <c r="BS48" s="482">
        <f t="shared" si="79"/>
        <v>0</v>
      </c>
      <c r="BT48" s="482">
        <f t="shared" si="79"/>
        <v>0</v>
      </c>
      <c r="BU48" s="482">
        <f t="shared" si="79"/>
        <v>0</v>
      </c>
      <c r="BV48" s="482">
        <f>SUM(BW48:CC48)</f>
        <v>0</v>
      </c>
      <c r="BW48" s="482">
        <f t="shared" ref="BW48:CC48" si="80">SUM(BW50:BW59)</f>
        <v>0</v>
      </c>
      <c r="BX48" s="482">
        <f t="shared" si="80"/>
        <v>0</v>
      </c>
      <c r="BY48" s="482">
        <f t="shared" si="80"/>
        <v>0</v>
      </c>
      <c r="BZ48" s="482">
        <f t="shared" si="80"/>
        <v>0</v>
      </c>
      <c r="CA48" s="482">
        <f t="shared" si="80"/>
        <v>0</v>
      </c>
      <c r="CB48" s="482">
        <f t="shared" si="80"/>
        <v>0</v>
      </c>
      <c r="CC48" s="482">
        <f t="shared" si="80"/>
        <v>0</v>
      </c>
      <c r="CD48" s="504"/>
      <c r="CE48" s="584" t="s">
        <v>325</v>
      </c>
    </row>
    <row r="49" spans="1:83" s="142" customFormat="1" ht="26.1" customHeight="1" x14ac:dyDescent="0.2">
      <c r="A49" s="506" t="s">
        <v>550</v>
      </c>
      <c r="B49" s="648" t="s">
        <v>552</v>
      </c>
      <c r="C49" s="648"/>
      <c r="D49" s="648"/>
      <c r="E49" s="648"/>
      <c r="F49" s="648"/>
      <c r="G49" s="648"/>
      <c r="H49" s="648"/>
      <c r="I49" s="507"/>
      <c r="J49" s="507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483"/>
      <c r="BC49" s="582"/>
      <c r="BD49" s="582"/>
      <c r="BE49" s="582"/>
      <c r="BF49" s="582"/>
      <c r="BG49" s="582"/>
      <c r="BH49" s="582"/>
      <c r="BI49" s="582"/>
      <c r="BJ49" s="582"/>
      <c r="BK49" s="582"/>
      <c r="BL49" s="582"/>
      <c r="BM49" s="582"/>
      <c r="BN49" s="483"/>
      <c r="BO49" s="483"/>
      <c r="BP49" s="483"/>
      <c r="BQ49" s="483"/>
      <c r="BR49" s="483"/>
      <c r="BS49" s="483"/>
      <c r="BT49" s="483"/>
      <c r="BU49" s="483"/>
      <c r="BV49" s="483"/>
      <c r="BW49" s="483"/>
      <c r="BX49" s="483"/>
      <c r="BY49" s="483"/>
      <c r="BZ49" s="483"/>
      <c r="CA49" s="483"/>
      <c r="CB49" s="483"/>
      <c r="CC49" s="483"/>
      <c r="CD49" s="508"/>
      <c r="CE49" s="584" t="s">
        <v>325</v>
      </c>
    </row>
    <row r="50" spans="1:83" s="142" customFormat="1" ht="26.1" customHeight="1" x14ac:dyDescent="0.2">
      <c r="A50" s="135"/>
      <c r="B50" s="134" t="s">
        <v>393</v>
      </c>
      <c r="C50" s="134"/>
      <c r="D50" s="135"/>
      <c r="E50" s="135" t="s">
        <v>37</v>
      </c>
      <c r="F50" s="135"/>
      <c r="G50" s="135"/>
      <c r="H50" s="135"/>
      <c r="I50" s="157"/>
      <c r="J50" s="139"/>
      <c r="K50" s="138">
        <f t="shared" ref="K50:K59" si="81">L50+SUM(Q50:Q50)</f>
        <v>112</v>
      </c>
      <c r="L50" s="138">
        <f t="shared" ref="L50:L59" si="82">SUM(M50:P50)</f>
        <v>76</v>
      </c>
      <c r="M50" s="138">
        <f t="shared" ref="M50:M59" si="83">S50+Y50+AE50+AK50+AQ50+AW50+BC50+BI50+BP50+BX50</f>
        <v>57</v>
      </c>
      <c r="N50" s="138">
        <f t="shared" ref="N50:N59" si="84">T50+Z50+AF50+AL50+AR50+AX50+BD50+BJ50+BQ50+BY50</f>
        <v>19</v>
      </c>
      <c r="O50" s="138">
        <f t="shared" ref="O50:O59" si="85">U50+AA50+AG50+AM50+AS50+AY50+BE50+BK50+BR50+BZ50</f>
        <v>0</v>
      </c>
      <c r="P50" s="138">
        <f t="shared" ref="P50:P59" si="86">V50+AB50+AH50+AN50+AT50+AZ50+BF50+BL50+BS50+CA50</f>
        <v>0</v>
      </c>
      <c r="Q50" s="138">
        <f t="shared" ref="Q50:Q59" si="87">W50+AC50+AI50+AO50+AU50+BA50+BG50+BM50+BU50+CC50</f>
        <v>36</v>
      </c>
      <c r="R50" s="237">
        <f t="shared" si="69"/>
        <v>0</v>
      </c>
      <c r="S50" s="139"/>
      <c r="T50" s="139"/>
      <c r="U50" s="139"/>
      <c r="V50" s="139"/>
      <c r="W50" s="139"/>
      <c r="X50" s="237">
        <f t="shared" si="70"/>
        <v>0</v>
      </c>
      <c r="Y50" s="139"/>
      <c r="Z50" s="139"/>
      <c r="AA50" s="139"/>
      <c r="AB50" s="139"/>
      <c r="AC50" s="139"/>
      <c r="AD50" s="237">
        <f t="shared" si="71"/>
        <v>0</v>
      </c>
      <c r="AE50" s="139"/>
      <c r="AF50" s="139"/>
      <c r="AG50" s="139"/>
      <c r="AH50" s="139"/>
      <c r="AI50" s="139"/>
      <c r="AJ50" s="237">
        <f t="shared" si="72"/>
        <v>0</v>
      </c>
      <c r="AK50" s="139"/>
      <c r="AL50" s="139"/>
      <c r="AM50" s="139"/>
      <c r="AN50" s="139"/>
      <c r="AO50" s="139"/>
      <c r="AP50" s="237">
        <f t="shared" si="73"/>
        <v>0</v>
      </c>
      <c r="AQ50" s="139"/>
      <c r="AR50" s="139"/>
      <c r="AS50" s="139"/>
      <c r="AT50" s="139"/>
      <c r="AU50" s="139"/>
      <c r="AV50" s="237">
        <f t="shared" si="74"/>
        <v>0</v>
      </c>
      <c r="AW50" s="157"/>
      <c r="AX50" s="139"/>
      <c r="AY50" s="139"/>
      <c r="AZ50" s="139"/>
      <c r="BA50" s="139"/>
      <c r="BB50" s="237">
        <f t="shared" si="75"/>
        <v>0</v>
      </c>
      <c r="BC50" s="139"/>
      <c r="BD50" s="139"/>
      <c r="BE50" s="139"/>
      <c r="BF50" s="139"/>
      <c r="BG50" s="139"/>
      <c r="BH50" s="237">
        <f t="shared" si="77"/>
        <v>112</v>
      </c>
      <c r="BI50" s="157">
        <v>57</v>
      </c>
      <c r="BJ50" s="157">
        <v>19</v>
      </c>
      <c r="BK50" s="139"/>
      <c r="BL50" s="139"/>
      <c r="BM50" s="139">
        <v>36</v>
      </c>
      <c r="BN50" s="237">
        <f t="shared" ref="BN50:BN54" si="88">SUM(BO50:BU50)</f>
        <v>0</v>
      </c>
      <c r="BO50" s="139"/>
      <c r="BP50" s="139"/>
      <c r="BQ50" s="139"/>
      <c r="BR50" s="139"/>
      <c r="BS50" s="139"/>
      <c r="BT50" s="139"/>
      <c r="BU50" s="139"/>
      <c r="BV50" s="237">
        <f t="shared" ref="BV50:BV54" si="89">SUM(BW50:CC50)</f>
        <v>0</v>
      </c>
      <c r="BW50" s="139"/>
      <c r="BX50" s="139"/>
      <c r="BY50" s="139"/>
      <c r="BZ50" s="139"/>
      <c r="CA50" s="139"/>
      <c r="CB50" s="139"/>
      <c r="CC50" s="139"/>
      <c r="CD50" s="135" t="s">
        <v>479</v>
      </c>
      <c r="CE50" s="139" t="s">
        <v>325</v>
      </c>
    </row>
    <row r="51" spans="1:83" s="142" customFormat="1" ht="26.1" customHeight="1" x14ac:dyDescent="0.2">
      <c r="A51" s="145"/>
      <c r="B51" s="134" t="s">
        <v>394</v>
      </c>
      <c r="C51" s="144"/>
      <c r="D51" s="145" t="s">
        <v>39</v>
      </c>
      <c r="E51" s="145"/>
      <c r="F51" s="135"/>
      <c r="G51" s="135"/>
      <c r="H51" s="135"/>
      <c r="I51" s="139"/>
      <c r="J51" s="139"/>
      <c r="K51" s="138">
        <f t="shared" si="81"/>
        <v>96</v>
      </c>
      <c r="L51" s="138">
        <f t="shared" si="82"/>
        <v>64</v>
      </c>
      <c r="M51" s="138">
        <f t="shared" si="83"/>
        <v>48</v>
      </c>
      <c r="N51" s="138">
        <f t="shared" si="84"/>
        <v>16</v>
      </c>
      <c r="O51" s="138">
        <f t="shared" si="85"/>
        <v>0</v>
      </c>
      <c r="P51" s="138">
        <f t="shared" si="86"/>
        <v>0</v>
      </c>
      <c r="Q51" s="138">
        <f t="shared" si="87"/>
        <v>32</v>
      </c>
      <c r="R51" s="237">
        <f t="shared" si="69"/>
        <v>0</v>
      </c>
      <c r="S51" s="139"/>
      <c r="T51" s="139"/>
      <c r="U51" s="139"/>
      <c r="V51" s="139"/>
      <c r="W51" s="139"/>
      <c r="X51" s="237">
        <f t="shared" si="70"/>
        <v>0</v>
      </c>
      <c r="Y51" s="139"/>
      <c r="Z51" s="139"/>
      <c r="AA51" s="139"/>
      <c r="AB51" s="139"/>
      <c r="AC51" s="139"/>
      <c r="AD51" s="237">
        <f t="shared" si="71"/>
        <v>0</v>
      </c>
      <c r="AE51" s="139"/>
      <c r="AF51" s="139"/>
      <c r="AG51" s="139"/>
      <c r="AH51" s="139"/>
      <c r="AI51" s="139"/>
      <c r="AJ51" s="237">
        <f t="shared" si="72"/>
        <v>96</v>
      </c>
      <c r="AK51" s="157">
        <v>48</v>
      </c>
      <c r="AL51" s="139">
        <v>16</v>
      </c>
      <c r="AM51" s="139"/>
      <c r="AN51" s="139"/>
      <c r="AO51" s="139">
        <v>32</v>
      </c>
      <c r="AP51" s="237">
        <f t="shared" si="73"/>
        <v>0</v>
      </c>
      <c r="AQ51" s="139"/>
      <c r="AR51" s="139"/>
      <c r="AS51" s="139"/>
      <c r="AT51" s="139"/>
      <c r="AU51" s="139"/>
      <c r="AV51" s="237">
        <f t="shared" si="74"/>
        <v>0</v>
      </c>
      <c r="AW51" s="139"/>
      <c r="AX51" s="139"/>
      <c r="AY51" s="139"/>
      <c r="AZ51" s="139"/>
      <c r="BA51" s="139"/>
      <c r="BB51" s="237">
        <f t="shared" si="75"/>
        <v>0</v>
      </c>
      <c r="BC51" s="139"/>
      <c r="BD51" s="139"/>
      <c r="BE51" s="139"/>
      <c r="BF51" s="139"/>
      <c r="BG51" s="139"/>
      <c r="BH51" s="237">
        <f t="shared" si="77"/>
        <v>0</v>
      </c>
      <c r="BI51" s="157"/>
      <c r="BJ51" s="157"/>
      <c r="BK51" s="139"/>
      <c r="BL51" s="139"/>
      <c r="BM51" s="139"/>
      <c r="BN51" s="237">
        <f t="shared" si="88"/>
        <v>0</v>
      </c>
      <c r="BO51" s="139"/>
      <c r="BP51" s="139"/>
      <c r="BQ51" s="139"/>
      <c r="BR51" s="139"/>
      <c r="BS51" s="139"/>
      <c r="BT51" s="139"/>
      <c r="BU51" s="139"/>
      <c r="BV51" s="237">
        <f t="shared" si="89"/>
        <v>0</v>
      </c>
      <c r="BW51" s="139"/>
      <c r="BX51" s="139"/>
      <c r="BY51" s="139"/>
      <c r="BZ51" s="139"/>
      <c r="CA51" s="139"/>
      <c r="CB51" s="139"/>
      <c r="CC51" s="139"/>
      <c r="CD51" s="135" t="s">
        <v>479</v>
      </c>
      <c r="CE51" s="139" t="s">
        <v>325</v>
      </c>
    </row>
    <row r="52" spans="1:83" s="142" customFormat="1" ht="26.1" customHeight="1" x14ac:dyDescent="0.2">
      <c r="A52" s="145"/>
      <c r="B52" s="144" t="s">
        <v>360</v>
      </c>
      <c r="C52" s="144"/>
      <c r="D52" s="145"/>
      <c r="E52" s="145" t="s">
        <v>37</v>
      </c>
      <c r="F52" s="135"/>
      <c r="G52" s="135"/>
      <c r="H52" s="135"/>
      <c r="I52" s="139"/>
      <c r="J52" s="139"/>
      <c r="K52" s="138">
        <f t="shared" si="81"/>
        <v>140</v>
      </c>
      <c r="L52" s="138">
        <f t="shared" si="82"/>
        <v>95</v>
      </c>
      <c r="M52" s="138">
        <f t="shared" si="83"/>
        <v>76</v>
      </c>
      <c r="N52" s="138">
        <f t="shared" si="84"/>
        <v>19</v>
      </c>
      <c r="O52" s="138">
        <f t="shared" si="85"/>
        <v>0</v>
      </c>
      <c r="P52" s="138">
        <f t="shared" si="86"/>
        <v>0</v>
      </c>
      <c r="Q52" s="138">
        <f t="shared" si="87"/>
        <v>45</v>
      </c>
      <c r="R52" s="237">
        <f t="shared" si="69"/>
        <v>0</v>
      </c>
      <c r="S52" s="139"/>
      <c r="T52" s="139"/>
      <c r="U52" s="139"/>
      <c r="V52" s="139"/>
      <c r="W52" s="139"/>
      <c r="X52" s="237">
        <f t="shared" si="70"/>
        <v>0</v>
      </c>
      <c r="Y52" s="139"/>
      <c r="Z52" s="139"/>
      <c r="AA52" s="139"/>
      <c r="AB52" s="139"/>
      <c r="AC52" s="139"/>
      <c r="AD52" s="237">
        <f t="shared" si="71"/>
        <v>0</v>
      </c>
      <c r="AE52" s="139"/>
      <c r="AF52" s="139"/>
      <c r="AG52" s="139"/>
      <c r="AH52" s="139"/>
      <c r="AI52" s="139"/>
      <c r="AJ52" s="237">
        <f t="shared" si="72"/>
        <v>0</v>
      </c>
      <c r="AK52" s="139"/>
      <c r="AL52" s="139"/>
      <c r="AM52" s="139"/>
      <c r="AN52" s="139"/>
      <c r="AO52" s="139"/>
      <c r="AP52" s="237">
        <f t="shared" si="73"/>
        <v>0</v>
      </c>
      <c r="AQ52" s="139"/>
      <c r="AR52" s="139"/>
      <c r="AS52" s="139"/>
      <c r="AT52" s="139"/>
      <c r="AU52" s="139"/>
      <c r="AV52" s="237">
        <f t="shared" si="74"/>
        <v>0</v>
      </c>
      <c r="AW52" s="157"/>
      <c r="AX52" s="157"/>
      <c r="AY52" s="157"/>
      <c r="AZ52" s="157"/>
      <c r="BA52" s="139"/>
      <c r="BB52" s="237">
        <f t="shared" si="75"/>
        <v>0</v>
      </c>
      <c r="BC52" s="139"/>
      <c r="BD52" s="139"/>
      <c r="BE52" s="139"/>
      <c r="BF52" s="139"/>
      <c r="BG52" s="139"/>
      <c r="BH52" s="237">
        <f t="shared" si="77"/>
        <v>140</v>
      </c>
      <c r="BI52" s="157">
        <v>76</v>
      </c>
      <c r="BJ52" s="157">
        <v>19</v>
      </c>
      <c r="BK52" s="139"/>
      <c r="BL52" s="139"/>
      <c r="BM52" s="139">
        <v>45</v>
      </c>
      <c r="BN52" s="237">
        <f t="shared" si="88"/>
        <v>0</v>
      </c>
      <c r="BO52" s="139"/>
      <c r="BP52" s="139"/>
      <c r="BQ52" s="139"/>
      <c r="BR52" s="139"/>
      <c r="BS52" s="139"/>
      <c r="BT52" s="139"/>
      <c r="BU52" s="139"/>
      <c r="BV52" s="237">
        <f t="shared" si="89"/>
        <v>0</v>
      </c>
      <c r="BW52" s="139"/>
      <c r="BX52" s="139"/>
      <c r="BY52" s="139"/>
      <c r="BZ52" s="139"/>
      <c r="CA52" s="139"/>
      <c r="CB52" s="139"/>
      <c r="CC52" s="139"/>
      <c r="CD52" s="135" t="s">
        <v>479</v>
      </c>
      <c r="CE52" s="139" t="s">
        <v>325</v>
      </c>
    </row>
    <row r="53" spans="1:83" s="142" customFormat="1" ht="26.1" customHeight="1" x14ac:dyDescent="0.2">
      <c r="A53" s="145"/>
      <c r="B53" s="134" t="s">
        <v>395</v>
      </c>
      <c r="C53" s="134"/>
      <c r="D53" s="135"/>
      <c r="E53" s="135" t="s">
        <v>40</v>
      </c>
      <c r="F53" s="135"/>
      <c r="G53" s="135"/>
      <c r="H53" s="135"/>
      <c r="I53" s="139"/>
      <c r="J53" s="139"/>
      <c r="K53" s="138">
        <f t="shared" si="81"/>
        <v>56</v>
      </c>
      <c r="L53" s="138">
        <f t="shared" si="82"/>
        <v>36</v>
      </c>
      <c r="M53" s="138">
        <f t="shared" si="83"/>
        <v>26</v>
      </c>
      <c r="N53" s="138">
        <f t="shared" si="84"/>
        <v>10</v>
      </c>
      <c r="O53" s="138">
        <f t="shared" si="85"/>
        <v>0</v>
      </c>
      <c r="P53" s="138">
        <f t="shared" si="86"/>
        <v>0</v>
      </c>
      <c r="Q53" s="138">
        <f t="shared" si="87"/>
        <v>20</v>
      </c>
      <c r="R53" s="237">
        <f t="shared" si="69"/>
        <v>0</v>
      </c>
      <c r="S53" s="139"/>
      <c r="T53" s="139"/>
      <c r="U53" s="139"/>
      <c r="V53" s="139"/>
      <c r="W53" s="139"/>
      <c r="X53" s="237">
        <f t="shared" si="70"/>
        <v>0</v>
      </c>
      <c r="Y53" s="139"/>
      <c r="Z53" s="139"/>
      <c r="AA53" s="139"/>
      <c r="AB53" s="139"/>
      <c r="AC53" s="139"/>
      <c r="AD53" s="237">
        <f t="shared" si="71"/>
        <v>0</v>
      </c>
      <c r="AE53" s="139"/>
      <c r="AF53" s="139"/>
      <c r="AG53" s="139"/>
      <c r="AH53" s="139"/>
      <c r="AI53" s="139"/>
      <c r="AJ53" s="237">
        <f t="shared" si="72"/>
        <v>0</v>
      </c>
      <c r="AK53" s="139"/>
      <c r="AL53" s="139"/>
      <c r="AM53" s="139"/>
      <c r="AN53" s="139"/>
      <c r="AO53" s="139"/>
      <c r="AP53" s="237">
        <f t="shared" si="73"/>
        <v>56</v>
      </c>
      <c r="AQ53" s="157">
        <v>26</v>
      </c>
      <c r="AR53" s="157">
        <v>10</v>
      </c>
      <c r="AS53" s="157"/>
      <c r="AT53" s="139"/>
      <c r="AU53" s="139">
        <v>20</v>
      </c>
      <c r="AV53" s="237">
        <f t="shared" si="74"/>
        <v>0</v>
      </c>
      <c r="AW53" s="157"/>
      <c r="AX53" s="157"/>
      <c r="AY53" s="157"/>
      <c r="AZ53" s="157"/>
      <c r="BA53" s="139"/>
      <c r="BB53" s="237">
        <f t="shared" si="75"/>
        <v>0</v>
      </c>
      <c r="BC53" s="139"/>
      <c r="BD53" s="139"/>
      <c r="BE53" s="139"/>
      <c r="BF53" s="139"/>
      <c r="BG53" s="139"/>
      <c r="BH53" s="237">
        <f t="shared" si="77"/>
        <v>0</v>
      </c>
      <c r="BI53" s="157"/>
      <c r="BJ53" s="157"/>
      <c r="BK53" s="139"/>
      <c r="BL53" s="139"/>
      <c r="BM53" s="139"/>
      <c r="BN53" s="237">
        <f t="shared" si="88"/>
        <v>0</v>
      </c>
      <c r="BO53" s="139"/>
      <c r="BP53" s="139"/>
      <c r="BQ53" s="139"/>
      <c r="BR53" s="139"/>
      <c r="BS53" s="139"/>
      <c r="BT53" s="139"/>
      <c r="BU53" s="139"/>
      <c r="BV53" s="237">
        <f t="shared" si="89"/>
        <v>0</v>
      </c>
      <c r="BW53" s="139"/>
      <c r="BX53" s="139"/>
      <c r="BY53" s="139"/>
      <c r="BZ53" s="139"/>
      <c r="CA53" s="139"/>
      <c r="CB53" s="139"/>
      <c r="CC53" s="139"/>
      <c r="CD53" s="135" t="s">
        <v>479</v>
      </c>
      <c r="CE53" s="139" t="s">
        <v>325</v>
      </c>
    </row>
    <row r="54" spans="1:83" s="142" customFormat="1" ht="26.1" customHeight="1" x14ac:dyDescent="0.2">
      <c r="A54" s="145"/>
      <c r="B54" s="134" t="s">
        <v>396</v>
      </c>
      <c r="C54" s="134"/>
      <c r="D54" s="135"/>
      <c r="E54" s="135" t="s">
        <v>37</v>
      </c>
      <c r="F54" s="135"/>
      <c r="G54" s="145" t="s">
        <v>37</v>
      </c>
      <c r="H54" s="579" t="s">
        <v>41</v>
      </c>
      <c r="I54" s="139"/>
      <c r="J54" s="139"/>
      <c r="K54" s="138">
        <f t="shared" si="81"/>
        <v>184</v>
      </c>
      <c r="L54" s="138">
        <f t="shared" si="82"/>
        <v>123</v>
      </c>
      <c r="M54" s="138">
        <f t="shared" si="83"/>
        <v>74</v>
      </c>
      <c r="N54" s="138">
        <f t="shared" si="84"/>
        <v>19</v>
      </c>
      <c r="O54" s="138">
        <f t="shared" si="85"/>
        <v>30</v>
      </c>
      <c r="P54" s="138">
        <f t="shared" si="86"/>
        <v>0</v>
      </c>
      <c r="Q54" s="138">
        <f t="shared" si="87"/>
        <v>61</v>
      </c>
      <c r="R54" s="237">
        <f t="shared" si="69"/>
        <v>0</v>
      </c>
      <c r="S54" s="139"/>
      <c r="T54" s="139"/>
      <c r="U54" s="139"/>
      <c r="V54" s="139"/>
      <c r="W54" s="139"/>
      <c r="X54" s="237">
        <f t="shared" si="70"/>
        <v>0</v>
      </c>
      <c r="Y54" s="139"/>
      <c r="Z54" s="139"/>
      <c r="AA54" s="139"/>
      <c r="AB54" s="139"/>
      <c r="AC54" s="139"/>
      <c r="AD54" s="237">
        <f t="shared" si="71"/>
        <v>0</v>
      </c>
      <c r="AE54" s="139"/>
      <c r="AF54" s="139"/>
      <c r="AG54" s="139"/>
      <c r="AH54" s="139"/>
      <c r="AI54" s="139"/>
      <c r="AJ54" s="237">
        <f t="shared" si="72"/>
        <v>0</v>
      </c>
      <c r="AK54" s="139"/>
      <c r="AL54" s="139"/>
      <c r="AM54" s="139"/>
      <c r="AN54" s="139"/>
      <c r="AO54" s="139"/>
      <c r="AP54" s="237">
        <f t="shared" si="73"/>
        <v>0</v>
      </c>
      <c r="AQ54" s="157"/>
      <c r="AR54" s="157"/>
      <c r="AS54" s="157"/>
      <c r="AT54" s="139"/>
      <c r="AU54" s="139"/>
      <c r="AV54" s="237">
        <f t="shared" si="74"/>
        <v>44</v>
      </c>
      <c r="AW54" s="157">
        <v>28</v>
      </c>
      <c r="AX54" s="157"/>
      <c r="AY54" s="157"/>
      <c r="AZ54" s="157"/>
      <c r="BA54" s="139">
        <v>16</v>
      </c>
      <c r="BB54" s="237">
        <f t="shared" si="75"/>
        <v>0</v>
      </c>
      <c r="BC54" s="139"/>
      <c r="BD54" s="139"/>
      <c r="BE54" s="139"/>
      <c r="BF54" s="139"/>
      <c r="BG54" s="139"/>
      <c r="BH54" s="237">
        <f t="shared" si="77"/>
        <v>140</v>
      </c>
      <c r="BI54" s="157">
        <v>46</v>
      </c>
      <c r="BJ54" s="157">
        <v>19</v>
      </c>
      <c r="BK54" s="157">
        <v>30</v>
      </c>
      <c r="BL54" s="139"/>
      <c r="BM54" s="139">
        <v>45</v>
      </c>
      <c r="BN54" s="237">
        <f t="shared" si="88"/>
        <v>0</v>
      </c>
      <c r="BO54" s="139"/>
      <c r="BP54" s="139"/>
      <c r="BQ54" s="139"/>
      <c r="BR54" s="139"/>
      <c r="BS54" s="139"/>
      <c r="BT54" s="139"/>
      <c r="BU54" s="139"/>
      <c r="BV54" s="237">
        <f t="shared" si="89"/>
        <v>0</v>
      </c>
      <c r="BW54" s="139"/>
      <c r="BX54" s="139"/>
      <c r="BY54" s="139"/>
      <c r="BZ54" s="139"/>
      <c r="CA54" s="139"/>
      <c r="CB54" s="139"/>
      <c r="CC54" s="139"/>
      <c r="CD54" s="135" t="s">
        <v>479</v>
      </c>
      <c r="CE54" s="139" t="s">
        <v>325</v>
      </c>
    </row>
    <row r="55" spans="1:83" s="142" customFormat="1" ht="26.1" customHeight="1" x14ac:dyDescent="0.2">
      <c r="A55" s="145"/>
      <c r="B55" s="144" t="s">
        <v>397</v>
      </c>
      <c r="C55" s="134"/>
      <c r="D55" s="135"/>
      <c r="E55" s="135" t="s">
        <v>472</v>
      </c>
      <c r="F55" s="135"/>
      <c r="G55" s="145" t="s">
        <v>40</v>
      </c>
      <c r="H55" s="135"/>
      <c r="I55" s="139"/>
      <c r="J55" s="139"/>
      <c r="K55" s="138">
        <f t="shared" si="81"/>
        <v>199</v>
      </c>
      <c r="L55" s="138">
        <f t="shared" si="82"/>
        <v>134</v>
      </c>
      <c r="M55" s="138">
        <f t="shared" si="83"/>
        <v>91</v>
      </c>
      <c r="N55" s="138">
        <f t="shared" si="84"/>
        <v>19</v>
      </c>
      <c r="O55" s="138">
        <f t="shared" si="85"/>
        <v>24</v>
      </c>
      <c r="P55" s="138">
        <f t="shared" si="86"/>
        <v>0</v>
      </c>
      <c r="Q55" s="138">
        <f t="shared" si="87"/>
        <v>65</v>
      </c>
      <c r="R55" s="237">
        <f t="shared" si="69"/>
        <v>0</v>
      </c>
      <c r="S55" s="139"/>
      <c r="T55" s="139"/>
      <c r="U55" s="139"/>
      <c r="V55" s="139"/>
      <c r="W55" s="139"/>
      <c r="X55" s="237">
        <f t="shared" si="70"/>
        <v>0</v>
      </c>
      <c r="Y55" s="139"/>
      <c r="Z55" s="139"/>
      <c r="AA55" s="139"/>
      <c r="AB55" s="139"/>
      <c r="AC55" s="139"/>
      <c r="AD55" s="237">
        <f t="shared" si="71"/>
        <v>0</v>
      </c>
      <c r="AE55" s="139"/>
      <c r="AF55" s="139"/>
      <c r="AG55" s="139"/>
      <c r="AH55" s="139"/>
      <c r="AI55" s="139"/>
      <c r="AJ55" s="237">
        <f t="shared" si="72"/>
        <v>0</v>
      </c>
      <c r="AK55" s="139"/>
      <c r="AL55" s="139"/>
      <c r="AM55" s="139"/>
      <c r="AN55" s="139"/>
      <c r="AO55" s="139"/>
      <c r="AP55" s="237">
        <f t="shared" si="73"/>
        <v>55</v>
      </c>
      <c r="AQ55" s="157">
        <v>12</v>
      </c>
      <c r="AR55" s="157"/>
      <c r="AS55" s="431">
        <v>24</v>
      </c>
      <c r="AT55" s="139"/>
      <c r="AU55" s="139">
        <v>19</v>
      </c>
      <c r="AV55" s="237">
        <f t="shared" si="74"/>
        <v>33</v>
      </c>
      <c r="AW55" s="157">
        <v>21</v>
      </c>
      <c r="AX55" s="157"/>
      <c r="AY55" s="157"/>
      <c r="AZ55" s="157"/>
      <c r="BA55" s="139">
        <v>12</v>
      </c>
      <c r="BB55" s="237">
        <f t="shared" si="75"/>
        <v>0</v>
      </c>
      <c r="BC55" s="139"/>
      <c r="BD55" s="139"/>
      <c r="BE55" s="139"/>
      <c r="BF55" s="139"/>
      <c r="BG55" s="139"/>
      <c r="BH55" s="237">
        <f t="shared" si="77"/>
        <v>111</v>
      </c>
      <c r="BI55" s="157">
        <v>58</v>
      </c>
      <c r="BJ55" s="157">
        <v>19</v>
      </c>
      <c r="BK55" s="139"/>
      <c r="BL55" s="139"/>
      <c r="BM55" s="139">
        <v>34</v>
      </c>
      <c r="BN55" s="237">
        <f t="shared" ref="BN55" si="90">SUM(BO55:BU55)</f>
        <v>0</v>
      </c>
      <c r="BO55" s="139"/>
      <c r="BP55" s="139"/>
      <c r="BQ55" s="139"/>
      <c r="BR55" s="139"/>
      <c r="BS55" s="139"/>
      <c r="BT55" s="139"/>
      <c r="BU55" s="139"/>
      <c r="BV55" s="237">
        <f t="shared" ref="BV55" si="91">SUM(BW55:CC55)</f>
        <v>0</v>
      </c>
      <c r="BW55" s="139"/>
      <c r="BX55" s="139"/>
      <c r="BY55" s="139"/>
      <c r="BZ55" s="139"/>
      <c r="CA55" s="139"/>
      <c r="CB55" s="139"/>
      <c r="CC55" s="139"/>
      <c r="CD55" s="135" t="s">
        <v>479</v>
      </c>
      <c r="CE55" s="139" t="s">
        <v>325</v>
      </c>
    </row>
    <row r="56" spans="1:83" s="142" customFormat="1" ht="26.1" customHeight="1" x14ac:dyDescent="0.2">
      <c r="A56" s="145"/>
      <c r="B56" s="134" t="s">
        <v>398</v>
      </c>
      <c r="C56" s="134"/>
      <c r="D56" s="135"/>
      <c r="E56" s="135" t="s">
        <v>40</v>
      </c>
      <c r="F56" s="135"/>
      <c r="G56" s="135"/>
      <c r="H56" s="135"/>
      <c r="I56" s="139"/>
      <c r="J56" s="139"/>
      <c r="K56" s="138">
        <f t="shared" si="81"/>
        <v>55</v>
      </c>
      <c r="L56" s="138">
        <f t="shared" si="82"/>
        <v>36</v>
      </c>
      <c r="M56" s="138">
        <f t="shared" si="83"/>
        <v>36</v>
      </c>
      <c r="N56" s="138">
        <f t="shared" si="84"/>
        <v>0</v>
      </c>
      <c r="O56" s="138">
        <f t="shared" si="85"/>
        <v>0</v>
      </c>
      <c r="P56" s="138">
        <f t="shared" si="86"/>
        <v>0</v>
      </c>
      <c r="Q56" s="138">
        <f t="shared" si="87"/>
        <v>19</v>
      </c>
      <c r="R56" s="237">
        <f t="shared" si="69"/>
        <v>0</v>
      </c>
      <c r="S56" s="139"/>
      <c r="T56" s="139"/>
      <c r="U56" s="139"/>
      <c r="V56" s="139"/>
      <c r="W56" s="139"/>
      <c r="X56" s="237">
        <f t="shared" si="70"/>
        <v>0</v>
      </c>
      <c r="Y56" s="139"/>
      <c r="Z56" s="139"/>
      <c r="AA56" s="139"/>
      <c r="AB56" s="139"/>
      <c r="AC56" s="139"/>
      <c r="AD56" s="237">
        <f t="shared" si="71"/>
        <v>0</v>
      </c>
      <c r="AE56" s="139"/>
      <c r="AF56" s="139"/>
      <c r="AG56" s="139"/>
      <c r="AH56" s="139"/>
      <c r="AI56" s="139"/>
      <c r="AJ56" s="237">
        <f t="shared" si="72"/>
        <v>0</v>
      </c>
      <c r="AK56" s="139"/>
      <c r="AL56" s="139"/>
      <c r="AM56" s="139"/>
      <c r="AN56" s="139"/>
      <c r="AO56" s="139"/>
      <c r="AP56" s="237">
        <f t="shared" si="73"/>
        <v>55</v>
      </c>
      <c r="AQ56" s="157">
        <v>36</v>
      </c>
      <c r="AR56" s="157"/>
      <c r="AS56" s="157"/>
      <c r="AT56" s="139"/>
      <c r="AU56" s="139">
        <v>19</v>
      </c>
      <c r="AV56" s="237">
        <f t="shared" si="74"/>
        <v>0</v>
      </c>
      <c r="AW56" s="157"/>
      <c r="AX56" s="157"/>
      <c r="AY56" s="157"/>
      <c r="AZ56" s="157"/>
      <c r="BA56" s="139"/>
      <c r="BB56" s="237">
        <f t="shared" si="75"/>
        <v>0</v>
      </c>
      <c r="BC56" s="139"/>
      <c r="BD56" s="139"/>
      <c r="BE56" s="139"/>
      <c r="BF56" s="139"/>
      <c r="BG56" s="139"/>
      <c r="BH56" s="237">
        <f t="shared" si="77"/>
        <v>0</v>
      </c>
      <c r="BI56" s="157"/>
      <c r="BJ56" s="157"/>
      <c r="BK56" s="139"/>
      <c r="BL56" s="139"/>
      <c r="BM56" s="139"/>
      <c r="BN56" s="237"/>
      <c r="BO56" s="139"/>
      <c r="BP56" s="139"/>
      <c r="BQ56" s="139"/>
      <c r="BR56" s="139"/>
      <c r="BS56" s="139"/>
      <c r="BT56" s="139"/>
      <c r="BU56" s="139"/>
      <c r="BV56" s="237"/>
      <c r="BW56" s="139"/>
      <c r="BX56" s="139"/>
      <c r="BY56" s="139"/>
      <c r="BZ56" s="139"/>
      <c r="CA56" s="139"/>
      <c r="CB56" s="139"/>
      <c r="CC56" s="139"/>
      <c r="CD56" s="135" t="s">
        <v>479</v>
      </c>
      <c r="CE56" s="139" t="s">
        <v>325</v>
      </c>
    </row>
    <row r="57" spans="1:83" s="142" customFormat="1" ht="26.1" customHeight="1" x14ac:dyDescent="0.2">
      <c r="A57" s="145"/>
      <c r="B57" s="359" t="s">
        <v>399</v>
      </c>
      <c r="C57" s="134"/>
      <c r="D57" s="135" t="s">
        <v>41</v>
      </c>
      <c r="E57" s="135"/>
      <c r="F57" s="135"/>
      <c r="G57" s="135"/>
      <c r="H57" s="135" t="s">
        <v>40</v>
      </c>
      <c r="I57" s="139"/>
      <c r="J57" s="139"/>
      <c r="K57" s="138">
        <f t="shared" si="81"/>
        <v>81</v>
      </c>
      <c r="L57" s="138">
        <f t="shared" si="82"/>
        <v>52</v>
      </c>
      <c r="M57" s="138">
        <f t="shared" si="83"/>
        <v>36</v>
      </c>
      <c r="N57" s="138">
        <f t="shared" si="84"/>
        <v>16</v>
      </c>
      <c r="O57" s="138">
        <f t="shared" si="85"/>
        <v>0</v>
      </c>
      <c r="P57" s="138">
        <f t="shared" si="86"/>
        <v>0</v>
      </c>
      <c r="Q57" s="138">
        <f t="shared" si="87"/>
        <v>29</v>
      </c>
      <c r="R57" s="237">
        <f t="shared" si="69"/>
        <v>0</v>
      </c>
      <c r="S57" s="139"/>
      <c r="T57" s="139"/>
      <c r="U57" s="139"/>
      <c r="V57" s="139"/>
      <c r="W57" s="139"/>
      <c r="X57" s="237">
        <f t="shared" si="70"/>
        <v>0</v>
      </c>
      <c r="Y57" s="139"/>
      <c r="Z57" s="139"/>
      <c r="AA57" s="139"/>
      <c r="AB57" s="139"/>
      <c r="AC57" s="139"/>
      <c r="AD57" s="237">
        <f t="shared" si="71"/>
        <v>0</v>
      </c>
      <c r="AE57" s="139"/>
      <c r="AF57" s="139"/>
      <c r="AG57" s="139"/>
      <c r="AH57" s="139"/>
      <c r="AI57" s="139"/>
      <c r="AJ57" s="237">
        <f t="shared" si="72"/>
        <v>0</v>
      </c>
      <c r="AK57" s="139"/>
      <c r="AL57" s="139"/>
      <c r="AM57" s="139"/>
      <c r="AN57" s="139"/>
      <c r="AO57" s="139"/>
      <c r="AP57" s="237">
        <f t="shared" si="73"/>
        <v>37</v>
      </c>
      <c r="AQ57" s="157">
        <v>24</v>
      </c>
      <c r="AR57" s="157"/>
      <c r="AS57" s="157"/>
      <c r="AT57" s="139"/>
      <c r="AU57" s="139">
        <v>13</v>
      </c>
      <c r="AV57" s="237">
        <f t="shared" si="74"/>
        <v>44</v>
      </c>
      <c r="AW57" s="157">
        <v>12</v>
      </c>
      <c r="AX57" s="157">
        <v>16</v>
      </c>
      <c r="AY57" s="157"/>
      <c r="AZ57" s="157"/>
      <c r="BA57" s="139">
        <v>16</v>
      </c>
      <c r="BB57" s="237">
        <f t="shared" si="75"/>
        <v>0</v>
      </c>
      <c r="BC57" s="139"/>
      <c r="BD57" s="139"/>
      <c r="BE57" s="139"/>
      <c r="BF57" s="139"/>
      <c r="BG57" s="139"/>
      <c r="BH57" s="237">
        <f t="shared" si="77"/>
        <v>0</v>
      </c>
      <c r="BI57" s="157"/>
      <c r="BJ57" s="157"/>
      <c r="BK57" s="139"/>
      <c r="BL57" s="139"/>
      <c r="BM57" s="139"/>
      <c r="BN57" s="237"/>
      <c r="BO57" s="139"/>
      <c r="BP57" s="139"/>
      <c r="BQ57" s="139"/>
      <c r="BR57" s="139"/>
      <c r="BS57" s="139"/>
      <c r="BT57" s="139"/>
      <c r="BU57" s="139"/>
      <c r="BV57" s="237"/>
      <c r="BW57" s="139"/>
      <c r="BX57" s="139"/>
      <c r="BY57" s="139"/>
      <c r="BZ57" s="139"/>
      <c r="CA57" s="139"/>
      <c r="CB57" s="139"/>
      <c r="CC57" s="139"/>
      <c r="CD57" s="135" t="s">
        <v>479</v>
      </c>
      <c r="CE57" s="139" t="s">
        <v>325</v>
      </c>
    </row>
    <row r="58" spans="1:83" s="142" customFormat="1" ht="26.1" customHeight="1" x14ac:dyDescent="0.2">
      <c r="A58" s="135"/>
      <c r="B58" s="134" t="s">
        <v>474</v>
      </c>
      <c r="C58" s="134"/>
      <c r="D58" s="135" t="s">
        <v>41</v>
      </c>
      <c r="E58" s="135"/>
      <c r="F58" s="135"/>
      <c r="G58" s="135"/>
      <c r="H58" s="135" t="s">
        <v>40</v>
      </c>
      <c r="I58" s="139"/>
      <c r="J58" s="139"/>
      <c r="K58" s="138">
        <f t="shared" si="81"/>
        <v>108</v>
      </c>
      <c r="L58" s="138">
        <f t="shared" si="82"/>
        <v>69</v>
      </c>
      <c r="M58" s="138">
        <f t="shared" si="83"/>
        <v>53</v>
      </c>
      <c r="N58" s="138">
        <f t="shared" si="84"/>
        <v>16</v>
      </c>
      <c r="O58" s="138">
        <f t="shared" si="85"/>
        <v>0</v>
      </c>
      <c r="P58" s="138">
        <f t="shared" si="86"/>
        <v>0</v>
      </c>
      <c r="Q58" s="138">
        <f t="shared" si="87"/>
        <v>39</v>
      </c>
      <c r="R58" s="237">
        <f t="shared" si="69"/>
        <v>0</v>
      </c>
      <c r="S58" s="139"/>
      <c r="T58" s="139"/>
      <c r="U58" s="139"/>
      <c r="V58" s="139"/>
      <c r="W58" s="139"/>
      <c r="X58" s="237">
        <f t="shared" si="70"/>
        <v>0</v>
      </c>
      <c r="Y58" s="139"/>
      <c r="Z58" s="139"/>
      <c r="AA58" s="139"/>
      <c r="AB58" s="139"/>
      <c r="AC58" s="139"/>
      <c r="AD58" s="237">
        <f t="shared" si="71"/>
        <v>0</v>
      </c>
      <c r="AE58" s="139"/>
      <c r="AF58" s="139"/>
      <c r="AG58" s="139"/>
      <c r="AH58" s="139"/>
      <c r="AI58" s="139"/>
      <c r="AJ58" s="237">
        <f t="shared" si="72"/>
        <v>0</v>
      </c>
      <c r="AK58" s="139"/>
      <c r="AL58" s="139"/>
      <c r="AM58" s="139"/>
      <c r="AN58" s="139"/>
      <c r="AO58" s="139"/>
      <c r="AP58" s="237">
        <f t="shared" si="73"/>
        <v>74</v>
      </c>
      <c r="AQ58" s="157">
        <v>38</v>
      </c>
      <c r="AR58" s="157">
        <v>10</v>
      </c>
      <c r="AS58" s="157"/>
      <c r="AT58" s="139"/>
      <c r="AU58" s="139">
        <v>26</v>
      </c>
      <c r="AV58" s="237">
        <f t="shared" si="74"/>
        <v>34</v>
      </c>
      <c r="AW58" s="157">
        <v>15</v>
      </c>
      <c r="AX58" s="157">
        <v>6</v>
      </c>
      <c r="AY58" s="157"/>
      <c r="AZ58" s="157"/>
      <c r="BA58" s="139">
        <v>13</v>
      </c>
      <c r="BB58" s="237">
        <f t="shared" si="75"/>
        <v>0</v>
      </c>
      <c r="BC58" s="139"/>
      <c r="BD58" s="139"/>
      <c r="BE58" s="139"/>
      <c r="BF58" s="139"/>
      <c r="BG58" s="139"/>
      <c r="BH58" s="237">
        <f t="shared" si="77"/>
        <v>0</v>
      </c>
      <c r="BI58" s="157"/>
      <c r="BJ58" s="157"/>
      <c r="BK58" s="139"/>
      <c r="BL58" s="139"/>
      <c r="BM58" s="139"/>
      <c r="BN58" s="237"/>
      <c r="BO58" s="139"/>
      <c r="BP58" s="139"/>
      <c r="BQ58" s="139"/>
      <c r="BR58" s="139"/>
      <c r="BS58" s="139"/>
      <c r="BT58" s="139"/>
      <c r="BU58" s="139"/>
      <c r="BV58" s="237"/>
      <c r="BW58" s="139"/>
      <c r="BX58" s="139"/>
      <c r="BY58" s="139"/>
      <c r="BZ58" s="139"/>
      <c r="CA58" s="139"/>
      <c r="CB58" s="139"/>
      <c r="CC58" s="139"/>
      <c r="CD58" s="135" t="s">
        <v>481</v>
      </c>
      <c r="CE58" s="139" t="s">
        <v>325</v>
      </c>
    </row>
    <row r="59" spans="1:83" s="142" customFormat="1" ht="26.1" customHeight="1" x14ac:dyDescent="0.2">
      <c r="A59" s="135"/>
      <c r="B59" s="134" t="s">
        <v>400</v>
      </c>
      <c r="C59" s="134"/>
      <c r="D59" s="135"/>
      <c r="E59" s="135" t="s">
        <v>41</v>
      </c>
      <c r="F59" s="135"/>
      <c r="G59" s="135"/>
      <c r="H59" s="135"/>
      <c r="I59" s="139"/>
      <c r="J59" s="139"/>
      <c r="K59" s="138">
        <f t="shared" si="81"/>
        <v>53</v>
      </c>
      <c r="L59" s="138">
        <f t="shared" si="82"/>
        <v>35</v>
      </c>
      <c r="M59" s="138">
        <f t="shared" si="83"/>
        <v>35</v>
      </c>
      <c r="N59" s="138">
        <f t="shared" si="84"/>
        <v>0</v>
      </c>
      <c r="O59" s="138">
        <f t="shared" si="85"/>
        <v>0</v>
      </c>
      <c r="P59" s="138">
        <f t="shared" si="86"/>
        <v>0</v>
      </c>
      <c r="Q59" s="138">
        <f t="shared" si="87"/>
        <v>18</v>
      </c>
      <c r="R59" s="237">
        <f t="shared" si="69"/>
        <v>0</v>
      </c>
      <c r="S59" s="139"/>
      <c r="T59" s="139"/>
      <c r="U59" s="139"/>
      <c r="V59" s="139"/>
      <c r="W59" s="139"/>
      <c r="X59" s="237">
        <f t="shared" si="70"/>
        <v>0</v>
      </c>
      <c r="Y59" s="139"/>
      <c r="Z59" s="139"/>
      <c r="AA59" s="139"/>
      <c r="AB59" s="139"/>
      <c r="AC59" s="139"/>
      <c r="AD59" s="237">
        <f t="shared" si="71"/>
        <v>0</v>
      </c>
      <c r="AE59" s="139"/>
      <c r="AF59" s="139"/>
      <c r="AG59" s="139"/>
      <c r="AH59" s="139"/>
      <c r="AI59" s="139"/>
      <c r="AJ59" s="237">
        <f t="shared" si="72"/>
        <v>0</v>
      </c>
      <c r="AK59" s="139"/>
      <c r="AL59" s="139"/>
      <c r="AM59" s="139"/>
      <c r="AN59" s="139"/>
      <c r="AO59" s="139"/>
      <c r="AP59" s="237">
        <f t="shared" si="73"/>
        <v>0</v>
      </c>
      <c r="AQ59" s="139"/>
      <c r="AR59" s="139"/>
      <c r="AS59" s="139"/>
      <c r="AT59" s="139"/>
      <c r="AU59" s="139"/>
      <c r="AV59" s="237">
        <f t="shared" si="74"/>
        <v>53</v>
      </c>
      <c r="AW59" s="139">
        <v>35</v>
      </c>
      <c r="AX59" s="139"/>
      <c r="AY59" s="139"/>
      <c r="AZ59" s="139"/>
      <c r="BA59" s="139">
        <v>18</v>
      </c>
      <c r="BB59" s="237">
        <f t="shared" si="75"/>
        <v>0</v>
      </c>
      <c r="BC59" s="139"/>
      <c r="BD59" s="139"/>
      <c r="BE59" s="139"/>
      <c r="BF59" s="139"/>
      <c r="BG59" s="139"/>
      <c r="BH59" s="237">
        <f t="shared" si="77"/>
        <v>0</v>
      </c>
      <c r="BI59" s="139"/>
      <c r="BJ59" s="139"/>
      <c r="BK59" s="139"/>
      <c r="BL59" s="139"/>
      <c r="BM59" s="139"/>
      <c r="BN59" s="237"/>
      <c r="BO59" s="139"/>
      <c r="BP59" s="139"/>
      <c r="BQ59" s="139"/>
      <c r="BR59" s="139"/>
      <c r="BS59" s="139"/>
      <c r="BT59" s="139"/>
      <c r="BU59" s="139"/>
      <c r="BV59" s="237"/>
      <c r="BW59" s="139"/>
      <c r="BX59" s="139"/>
      <c r="BY59" s="139"/>
      <c r="BZ59" s="139"/>
      <c r="CA59" s="139"/>
      <c r="CB59" s="139"/>
      <c r="CC59" s="139"/>
      <c r="CD59" s="135" t="s">
        <v>479</v>
      </c>
      <c r="CE59" s="585" t="s">
        <v>582</v>
      </c>
    </row>
    <row r="60" spans="1:83" s="142" customFormat="1" ht="13.5" customHeight="1" x14ac:dyDescent="0.2">
      <c r="A60" s="649" t="s">
        <v>353</v>
      </c>
      <c r="B60" s="649"/>
      <c r="C60" s="478"/>
      <c r="D60" s="357" t="s">
        <v>37</v>
      </c>
      <c r="E60" s="479"/>
      <c r="F60" s="479"/>
      <c r="G60" s="479"/>
      <c r="H60" s="479"/>
      <c r="I60" s="510"/>
      <c r="J60" s="277"/>
      <c r="K60" s="278"/>
      <c r="L60" s="278"/>
      <c r="M60" s="278"/>
      <c r="N60" s="278"/>
      <c r="O60" s="278"/>
      <c r="P60" s="278"/>
      <c r="Q60" s="278"/>
      <c r="R60" s="278"/>
      <c r="S60" s="277"/>
      <c r="T60" s="277"/>
      <c r="U60" s="277"/>
      <c r="V60" s="277"/>
      <c r="W60" s="277"/>
      <c r="X60" s="278"/>
      <c r="Y60" s="277"/>
      <c r="Z60" s="277"/>
      <c r="AA60" s="277"/>
      <c r="AB60" s="277"/>
      <c r="AC60" s="277"/>
      <c r="AD60" s="278"/>
      <c r="AE60" s="277"/>
      <c r="AF60" s="277"/>
      <c r="AG60" s="277"/>
      <c r="AH60" s="277"/>
      <c r="AI60" s="277"/>
      <c r="AJ60" s="278"/>
      <c r="AK60" s="277"/>
      <c r="AL60" s="277"/>
      <c r="AM60" s="277"/>
      <c r="AN60" s="277"/>
      <c r="AO60" s="277"/>
      <c r="AP60" s="278"/>
      <c r="AQ60" s="277"/>
      <c r="AR60" s="277"/>
      <c r="AS60" s="277"/>
      <c r="AT60" s="277"/>
      <c r="AU60" s="277"/>
      <c r="AV60" s="278"/>
      <c r="AW60" s="277"/>
      <c r="AX60" s="277"/>
      <c r="AY60" s="277"/>
      <c r="AZ60" s="277"/>
      <c r="BA60" s="277"/>
      <c r="BB60" s="278"/>
      <c r="BC60" s="277"/>
      <c r="BD60" s="277"/>
      <c r="BE60" s="277"/>
      <c r="BF60" s="277"/>
      <c r="BG60" s="277"/>
      <c r="BH60" s="278"/>
      <c r="BI60" s="277"/>
      <c r="BJ60" s="277"/>
      <c r="BK60" s="277"/>
      <c r="BL60" s="277"/>
      <c r="BM60" s="277"/>
      <c r="BN60" s="278"/>
      <c r="BO60" s="277"/>
      <c r="BP60" s="277"/>
      <c r="BQ60" s="277"/>
      <c r="BR60" s="277"/>
      <c r="BS60" s="277"/>
      <c r="BT60" s="277"/>
      <c r="BU60" s="277"/>
      <c r="BV60" s="278"/>
      <c r="BW60" s="277"/>
      <c r="BX60" s="277"/>
      <c r="BY60" s="277"/>
      <c r="BZ60" s="277"/>
      <c r="CA60" s="277"/>
      <c r="CB60" s="277"/>
      <c r="CC60" s="277"/>
      <c r="CD60" s="511"/>
      <c r="CE60" s="277"/>
    </row>
    <row r="61" spans="1:83" s="142" customFormat="1" ht="26.1" customHeight="1" x14ac:dyDescent="0.2">
      <c r="A61" s="502" t="s">
        <v>553</v>
      </c>
      <c r="B61" s="647" t="s">
        <v>555</v>
      </c>
      <c r="C61" s="647"/>
      <c r="D61" s="647"/>
      <c r="E61" s="647"/>
      <c r="F61" s="647"/>
      <c r="G61" s="647"/>
      <c r="H61" s="647"/>
      <c r="I61" s="503"/>
      <c r="J61" s="503"/>
      <c r="K61" s="482">
        <f>L61+SUM(Q61:Q61)</f>
        <v>123</v>
      </c>
      <c r="L61" s="482">
        <f>SUM(M61:P61)</f>
        <v>85</v>
      </c>
      <c r="M61" s="482">
        <f>S61+Y61+AE61+AK61+AQ61+AW61+BC61+BI61+BP61+BX61</f>
        <v>85</v>
      </c>
      <c r="N61" s="482">
        <f>T61+Z61+AF61+AL61+AR61+AX61+BD61+BJ61+BQ61+BY61</f>
        <v>0</v>
      </c>
      <c r="O61" s="482">
        <f>U61+AA61+AG61+AM61+AS61+AY61+BE61+BK61+BR61+BZ61</f>
        <v>0</v>
      </c>
      <c r="P61" s="482">
        <f>V61+AB61+AH61+AN61+AT61+AZ61+BF61+BL61+BS61+CA61</f>
        <v>0</v>
      </c>
      <c r="Q61" s="482">
        <f>W61+AC61+AI61+AO61+AU61+BA61+BG61+BM61+BU61+CC61</f>
        <v>38</v>
      </c>
      <c r="R61" s="482">
        <f>SUM(S61:W61)</f>
        <v>0</v>
      </c>
      <c r="S61" s="482">
        <f>SUM(S64:S64)</f>
        <v>0</v>
      </c>
      <c r="T61" s="482">
        <f>SUM(T64:T64)</f>
        <v>0</v>
      </c>
      <c r="U61" s="482">
        <f>SUM(U64:U64)</f>
        <v>0</v>
      </c>
      <c r="V61" s="482">
        <f>SUM(V64:V64)</f>
        <v>0</v>
      </c>
      <c r="W61" s="482">
        <f>SUM(W64:W64)</f>
        <v>0</v>
      </c>
      <c r="X61" s="482">
        <f>SUM(Y61:AC61)</f>
        <v>0</v>
      </c>
      <c r="Y61" s="482">
        <f>SUM(Y64:Y64)</f>
        <v>0</v>
      </c>
      <c r="Z61" s="482">
        <f>SUM(Z64:Z64)</f>
        <v>0</v>
      </c>
      <c r="AA61" s="482">
        <f>SUM(AA64:AA64)</f>
        <v>0</v>
      </c>
      <c r="AB61" s="482">
        <f>SUM(AB64:AB64)</f>
        <v>0</v>
      </c>
      <c r="AC61" s="482">
        <f>SUM(AC64:AC64)</f>
        <v>0</v>
      </c>
      <c r="AD61" s="482">
        <f>SUM(AE61:AI61)</f>
        <v>0</v>
      </c>
      <c r="AE61" s="482">
        <f>SUM(AE64:AE64)</f>
        <v>0</v>
      </c>
      <c r="AF61" s="482">
        <f>SUM(AF64:AF64)</f>
        <v>0</v>
      </c>
      <c r="AG61" s="482">
        <f>SUM(AG64:AG64)</f>
        <v>0</v>
      </c>
      <c r="AH61" s="482">
        <f>SUM(AH64:AH64)</f>
        <v>0</v>
      </c>
      <c r="AI61" s="482">
        <f>SUM(AI64:AI64)</f>
        <v>0</v>
      </c>
      <c r="AJ61" s="482">
        <f>SUM(AK61:AO61)</f>
        <v>0</v>
      </c>
      <c r="AK61" s="482">
        <f>SUM(AK64:AK64)</f>
        <v>0</v>
      </c>
      <c r="AL61" s="482">
        <f>SUM(AL64:AL64)</f>
        <v>0</v>
      </c>
      <c r="AM61" s="482">
        <f>SUM(AM64:AM64)</f>
        <v>0</v>
      </c>
      <c r="AN61" s="482">
        <f>SUM(AN64:AN64)</f>
        <v>0</v>
      </c>
      <c r="AO61" s="482">
        <f>SUM(AO64:AO64)</f>
        <v>0</v>
      </c>
      <c r="AP61" s="482">
        <f>SUM(AQ61:AU61)</f>
        <v>0</v>
      </c>
      <c r="AQ61" s="482">
        <f>SUM(AQ63:AQ64)</f>
        <v>0</v>
      </c>
      <c r="AR61" s="482">
        <f>SUM(AR63:AR64)</f>
        <v>0</v>
      </c>
      <c r="AS61" s="482">
        <f>SUM(AS63:AS64)</f>
        <v>0</v>
      </c>
      <c r="AT61" s="482">
        <f>SUM(AT63:AT64)</f>
        <v>0</v>
      </c>
      <c r="AU61" s="482">
        <f>SUM(AU63:AU64)</f>
        <v>0</v>
      </c>
      <c r="AV61" s="482">
        <f>SUM(AW61:BA61)</f>
        <v>0</v>
      </c>
      <c r="AW61" s="482">
        <f>SUM(AW64:AW64)</f>
        <v>0</v>
      </c>
      <c r="AX61" s="482">
        <f>SUM(AX64:AX64)</f>
        <v>0</v>
      </c>
      <c r="AY61" s="482">
        <f>SUM(AY64:AY64)</f>
        <v>0</v>
      </c>
      <c r="AZ61" s="482">
        <f>SUM(AZ64:AZ64)</f>
        <v>0</v>
      </c>
      <c r="BA61" s="482">
        <f>SUM(BA64:BA64)</f>
        <v>0</v>
      </c>
      <c r="BB61" s="482">
        <f>SUM(BC61:BG61)</f>
        <v>0</v>
      </c>
      <c r="BC61" s="482">
        <f>SUM(BC63:BC64)</f>
        <v>0</v>
      </c>
      <c r="BD61" s="482">
        <f t="shared" ref="BD61:BG61" si="92">SUM(BD63:BD64)</f>
        <v>0</v>
      </c>
      <c r="BE61" s="482">
        <f t="shared" si="92"/>
        <v>0</v>
      </c>
      <c r="BF61" s="482">
        <f t="shared" si="92"/>
        <v>0</v>
      </c>
      <c r="BG61" s="482">
        <f t="shared" si="92"/>
        <v>0</v>
      </c>
      <c r="BH61" s="482">
        <f>SUM(BI61:BM61)</f>
        <v>123</v>
      </c>
      <c r="BI61" s="482">
        <f t="shared" ref="BI61:BM61" si="93">SUM(BI63:BI64)</f>
        <v>85</v>
      </c>
      <c r="BJ61" s="482">
        <f t="shared" si="93"/>
        <v>0</v>
      </c>
      <c r="BK61" s="482">
        <f t="shared" si="93"/>
        <v>0</v>
      </c>
      <c r="BL61" s="482">
        <f t="shared" si="93"/>
        <v>0</v>
      </c>
      <c r="BM61" s="482">
        <f t="shared" si="93"/>
        <v>38</v>
      </c>
      <c r="BN61" s="482">
        <f t="shared" ref="BN61" si="94">SUM(BO61:BU61)</f>
        <v>0</v>
      </c>
      <c r="BO61" s="482">
        <f t="shared" ref="BO61:BU61" si="95">SUM(BO64:BO64)</f>
        <v>0</v>
      </c>
      <c r="BP61" s="482">
        <f t="shared" si="95"/>
        <v>0</v>
      </c>
      <c r="BQ61" s="482">
        <f t="shared" si="95"/>
        <v>0</v>
      </c>
      <c r="BR61" s="482">
        <f t="shared" si="95"/>
        <v>0</v>
      </c>
      <c r="BS61" s="482">
        <f t="shared" si="95"/>
        <v>0</v>
      </c>
      <c r="BT61" s="482">
        <f t="shared" si="95"/>
        <v>0</v>
      </c>
      <c r="BU61" s="482">
        <f t="shared" si="95"/>
        <v>0</v>
      </c>
      <c r="BV61" s="482">
        <f t="shared" ref="BV61" si="96">SUM(BW61:CC61)</f>
        <v>0</v>
      </c>
      <c r="BW61" s="482">
        <f t="shared" ref="BW61:CC61" si="97">SUM(BW64:BW64)</f>
        <v>0</v>
      </c>
      <c r="BX61" s="482">
        <f t="shared" si="97"/>
        <v>0</v>
      </c>
      <c r="BY61" s="482">
        <f t="shared" si="97"/>
        <v>0</v>
      </c>
      <c r="BZ61" s="482">
        <f t="shared" si="97"/>
        <v>0</v>
      </c>
      <c r="CA61" s="482">
        <f t="shared" si="97"/>
        <v>0</v>
      </c>
      <c r="CB61" s="482">
        <f t="shared" si="97"/>
        <v>0</v>
      </c>
      <c r="CC61" s="482">
        <f t="shared" si="97"/>
        <v>0</v>
      </c>
      <c r="CD61" s="504"/>
      <c r="CE61" s="505" t="s">
        <v>444</v>
      </c>
    </row>
    <row r="62" spans="1:83" s="142" customFormat="1" ht="26.1" customHeight="1" x14ac:dyDescent="0.2">
      <c r="A62" s="506" t="s">
        <v>554</v>
      </c>
      <c r="B62" s="648" t="s">
        <v>432</v>
      </c>
      <c r="C62" s="648"/>
      <c r="D62" s="648"/>
      <c r="E62" s="648"/>
      <c r="F62" s="648"/>
      <c r="G62" s="648"/>
      <c r="H62" s="648"/>
      <c r="I62" s="507"/>
      <c r="J62" s="507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  <c r="AM62" s="483"/>
      <c r="AN62" s="483"/>
      <c r="AO62" s="483"/>
      <c r="AP62" s="483"/>
      <c r="AQ62" s="483"/>
      <c r="AR62" s="483"/>
      <c r="AS62" s="483"/>
      <c r="AT62" s="483"/>
      <c r="AU62" s="483"/>
      <c r="AV62" s="483"/>
      <c r="AW62" s="483"/>
      <c r="AX62" s="483"/>
      <c r="AY62" s="483"/>
      <c r="AZ62" s="483"/>
      <c r="BA62" s="483"/>
      <c r="BB62" s="483"/>
      <c r="BC62" s="582"/>
      <c r="BD62" s="582"/>
      <c r="BE62" s="582"/>
      <c r="BF62" s="582"/>
      <c r="BG62" s="582"/>
      <c r="BH62" s="582"/>
      <c r="BI62" s="582"/>
      <c r="BJ62" s="582"/>
      <c r="BK62" s="582"/>
      <c r="BL62" s="582"/>
      <c r="BM62" s="582"/>
      <c r="BN62" s="483"/>
      <c r="BO62" s="483"/>
      <c r="BP62" s="483"/>
      <c r="BQ62" s="483"/>
      <c r="BR62" s="483"/>
      <c r="BS62" s="483"/>
      <c r="BT62" s="483"/>
      <c r="BU62" s="483"/>
      <c r="BV62" s="483"/>
      <c r="BW62" s="483"/>
      <c r="BX62" s="483"/>
      <c r="BY62" s="483"/>
      <c r="BZ62" s="483"/>
      <c r="CA62" s="483"/>
      <c r="CB62" s="483"/>
      <c r="CC62" s="483"/>
      <c r="CD62" s="508"/>
      <c r="CE62" s="505" t="s">
        <v>444</v>
      </c>
    </row>
    <row r="63" spans="1:83" s="142" customFormat="1" ht="26.1" customHeight="1" x14ac:dyDescent="0.2">
      <c r="A63" s="135"/>
      <c r="B63" s="134" t="s">
        <v>511</v>
      </c>
      <c r="C63" s="134"/>
      <c r="D63" s="135"/>
      <c r="E63" s="135" t="s">
        <v>37</v>
      </c>
      <c r="F63" s="135"/>
      <c r="G63" s="135"/>
      <c r="H63" s="135"/>
      <c r="I63" s="157"/>
      <c r="J63" s="139"/>
      <c r="K63" s="138">
        <f>L63+SUM(Q63:Q63)</f>
        <v>56</v>
      </c>
      <c r="L63" s="138">
        <f>SUM(M63:P63)</f>
        <v>38</v>
      </c>
      <c r="M63" s="138">
        <f t="shared" ref="M63:P64" si="98">S63+Y63+AE63+AK63+AQ63+AW63+BC63+BI63+BP63+BX63</f>
        <v>38</v>
      </c>
      <c r="N63" s="138">
        <f t="shared" si="98"/>
        <v>0</v>
      </c>
      <c r="O63" s="138">
        <f t="shared" si="98"/>
        <v>0</v>
      </c>
      <c r="P63" s="138">
        <f t="shared" si="98"/>
        <v>0</v>
      </c>
      <c r="Q63" s="138">
        <f>W63+AC63+AI63+AO63+AU63+BA63+BG63+BM63+BU63+CC63</f>
        <v>18</v>
      </c>
      <c r="R63" s="237"/>
      <c r="S63" s="139"/>
      <c r="T63" s="139"/>
      <c r="U63" s="139"/>
      <c r="V63" s="139"/>
      <c r="W63" s="139"/>
      <c r="X63" s="237"/>
      <c r="Y63" s="139"/>
      <c r="Z63" s="139"/>
      <c r="AA63" s="139"/>
      <c r="AB63" s="139"/>
      <c r="AC63" s="139"/>
      <c r="AD63" s="237"/>
      <c r="AE63" s="139"/>
      <c r="AF63" s="139"/>
      <c r="AG63" s="139"/>
      <c r="AH63" s="139"/>
      <c r="AI63" s="139"/>
      <c r="AJ63" s="237">
        <f>SUM(AK63:AO63)</f>
        <v>0</v>
      </c>
      <c r="AK63" s="139"/>
      <c r="AL63" s="139"/>
      <c r="AM63" s="139"/>
      <c r="AN63" s="139"/>
      <c r="AO63" s="139"/>
      <c r="AP63" s="237">
        <f>SUM(AQ63:AU63)</f>
        <v>0</v>
      </c>
      <c r="AQ63" s="157"/>
      <c r="AR63" s="139"/>
      <c r="AS63" s="139"/>
      <c r="AT63" s="139"/>
      <c r="AU63" s="157"/>
      <c r="AV63" s="237">
        <f>SUM(AW63:BA63)</f>
        <v>0</v>
      </c>
      <c r="AW63" s="139"/>
      <c r="AX63" s="139"/>
      <c r="AY63" s="139"/>
      <c r="AZ63" s="139"/>
      <c r="BA63" s="139"/>
      <c r="BB63" s="237">
        <f>SUM(BC63:BG63)</f>
        <v>0</v>
      </c>
      <c r="BC63" s="139"/>
      <c r="BD63" s="139"/>
      <c r="BE63" s="139"/>
      <c r="BF63" s="139"/>
      <c r="BG63" s="139"/>
      <c r="BH63" s="237">
        <f>SUM(BI63:BM63)</f>
        <v>56</v>
      </c>
      <c r="BI63" s="157">
        <v>38</v>
      </c>
      <c r="BJ63" s="139"/>
      <c r="BK63" s="139"/>
      <c r="BL63" s="139"/>
      <c r="BM63" s="139">
        <v>18</v>
      </c>
      <c r="BN63" s="237"/>
      <c r="BO63" s="139"/>
      <c r="BP63" s="139"/>
      <c r="BQ63" s="139"/>
      <c r="BR63" s="139"/>
      <c r="BS63" s="139"/>
      <c r="BT63" s="139"/>
      <c r="BU63" s="139"/>
      <c r="BV63" s="237"/>
      <c r="BW63" s="139"/>
      <c r="BX63" s="139"/>
      <c r="BY63" s="139"/>
      <c r="BZ63" s="139"/>
      <c r="CA63" s="139"/>
      <c r="CB63" s="139"/>
      <c r="CC63" s="139"/>
      <c r="CD63" s="135" t="s">
        <v>482</v>
      </c>
      <c r="CE63" s="139" t="s">
        <v>444</v>
      </c>
    </row>
    <row r="64" spans="1:83" s="142" customFormat="1" ht="26.1" customHeight="1" x14ac:dyDescent="0.2">
      <c r="A64" s="135"/>
      <c r="B64" s="134" t="s">
        <v>501</v>
      </c>
      <c r="C64" s="144"/>
      <c r="D64" s="145"/>
      <c r="E64" s="145" t="s">
        <v>37</v>
      </c>
      <c r="F64" s="145"/>
      <c r="G64" s="145"/>
      <c r="H64" s="145"/>
      <c r="I64" s="139"/>
      <c r="J64" s="139"/>
      <c r="K64" s="138">
        <f>L64+SUM(Q64:Q64)</f>
        <v>67</v>
      </c>
      <c r="L64" s="138">
        <f>SUM(M64:P64)</f>
        <v>47</v>
      </c>
      <c r="M64" s="138">
        <f t="shared" si="98"/>
        <v>47</v>
      </c>
      <c r="N64" s="138">
        <f t="shared" si="98"/>
        <v>0</v>
      </c>
      <c r="O64" s="138">
        <f t="shared" si="98"/>
        <v>0</v>
      </c>
      <c r="P64" s="138">
        <f t="shared" si="98"/>
        <v>0</v>
      </c>
      <c r="Q64" s="138">
        <f>W64+AC64+AI64+AO64+AU64+BA64+BG64+BM64+BU64+CC64</f>
        <v>20</v>
      </c>
      <c r="R64" s="237"/>
      <c r="S64" s="139"/>
      <c r="T64" s="139"/>
      <c r="U64" s="139"/>
      <c r="V64" s="139"/>
      <c r="W64" s="139"/>
      <c r="X64" s="237"/>
      <c r="Y64" s="139"/>
      <c r="Z64" s="139"/>
      <c r="AA64" s="139"/>
      <c r="AB64" s="139"/>
      <c r="AC64" s="139"/>
      <c r="AD64" s="237"/>
      <c r="AE64" s="139"/>
      <c r="AF64" s="139"/>
      <c r="AG64" s="139"/>
      <c r="AH64" s="139"/>
      <c r="AI64" s="139"/>
      <c r="AJ64" s="237">
        <f>SUM(AK64:AO64)</f>
        <v>0</v>
      </c>
      <c r="AK64" s="139"/>
      <c r="AL64" s="139"/>
      <c r="AM64" s="139"/>
      <c r="AN64" s="139"/>
      <c r="AO64" s="139"/>
      <c r="AP64" s="237">
        <f>SUM(AQ64:AU64)</f>
        <v>0</v>
      </c>
      <c r="AQ64" s="139"/>
      <c r="AR64" s="139"/>
      <c r="AS64" s="139"/>
      <c r="AT64" s="139"/>
      <c r="AU64" s="139"/>
      <c r="AV64" s="237">
        <f>SUM(AW64:BA64)</f>
        <v>0</v>
      </c>
      <c r="AW64" s="139"/>
      <c r="AX64" s="139"/>
      <c r="AY64" s="139"/>
      <c r="AZ64" s="139"/>
      <c r="BA64" s="139"/>
      <c r="BB64" s="237">
        <f>SUM(BC64:BG64)</f>
        <v>0</v>
      </c>
      <c r="BC64" s="139"/>
      <c r="BD64" s="139"/>
      <c r="BE64" s="139"/>
      <c r="BF64" s="139"/>
      <c r="BG64" s="139"/>
      <c r="BH64" s="237">
        <f>SUM(BI64:BM64)</f>
        <v>67</v>
      </c>
      <c r="BI64" s="157">
        <v>47</v>
      </c>
      <c r="BJ64" s="157"/>
      <c r="BK64" s="157"/>
      <c r="BL64" s="157"/>
      <c r="BM64" s="157">
        <v>20</v>
      </c>
      <c r="BN64" s="237"/>
      <c r="BO64" s="139"/>
      <c r="BP64" s="139"/>
      <c r="BQ64" s="139"/>
      <c r="BR64" s="139"/>
      <c r="BS64" s="139"/>
      <c r="BT64" s="139"/>
      <c r="BU64" s="139"/>
      <c r="BV64" s="237"/>
      <c r="BW64" s="139"/>
      <c r="BX64" s="139"/>
      <c r="BY64" s="139"/>
      <c r="BZ64" s="139"/>
      <c r="CA64" s="139"/>
      <c r="CB64" s="139"/>
      <c r="CC64" s="139"/>
      <c r="CD64" s="135" t="s">
        <v>482</v>
      </c>
      <c r="CE64" s="139" t="s">
        <v>444</v>
      </c>
    </row>
    <row r="65" spans="1:83" s="142" customFormat="1" ht="13.5" customHeight="1" x14ac:dyDescent="0.2">
      <c r="A65" s="649" t="s">
        <v>353</v>
      </c>
      <c r="B65" s="649"/>
      <c r="C65" s="276"/>
      <c r="D65" s="357" t="s">
        <v>37</v>
      </c>
      <c r="E65" s="276"/>
      <c r="F65" s="276"/>
      <c r="G65" s="276"/>
      <c r="H65" s="276"/>
      <c r="I65" s="277"/>
      <c r="J65" s="277"/>
      <c r="K65" s="278"/>
      <c r="L65" s="278"/>
      <c r="M65" s="278"/>
      <c r="N65" s="278"/>
      <c r="O65" s="278"/>
      <c r="P65" s="278"/>
      <c r="Q65" s="278"/>
      <c r="R65" s="278"/>
      <c r="S65" s="277"/>
      <c r="T65" s="277"/>
      <c r="U65" s="277"/>
      <c r="V65" s="277"/>
      <c r="W65" s="277"/>
      <c r="X65" s="278"/>
      <c r="Y65" s="277"/>
      <c r="Z65" s="277"/>
      <c r="AA65" s="277"/>
      <c r="AB65" s="277"/>
      <c r="AC65" s="277"/>
      <c r="AD65" s="278"/>
      <c r="AE65" s="277"/>
      <c r="AF65" s="277"/>
      <c r="AG65" s="277"/>
      <c r="AH65" s="277"/>
      <c r="AI65" s="277"/>
      <c r="AJ65" s="278"/>
      <c r="AK65" s="277"/>
      <c r="AL65" s="277"/>
      <c r="AM65" s="277"/>
      <c r="AN65" s="277"/>
      <c r="AO65" s="277"/>
      <c r="AP65" s="278"/>
      <c r="AQ65" s="277"/>
      <c r="AR65" s="277"/>
      <c r="AS65" s="277"/>
      <c r="AT65" s="277"/>
      <c r="AU65" s="277"/>
      <c r="AV65" s="278"/>
      <c r="AW65" s="277"/>
      <c r="AX65" s="277"/>
      <c r="AY65" s="277"/>
      <c r="AZ65" s="277"/>
      <c r="BA65" s="277"/>
      <c r="BB65" s="278"/>
      <c r="BC65" s="277"/>
      <c r="BD65" s="277"/>
      <c r="BE65" s="277"/>
      <c r="BF65" s="277"/>
      <c r="BG65" s="277"/>
      <c r="BH65" s="278"/>
      <c r="BI65" s="277"/>
      <c r="BJ65" s="277"/>
      <c r="BK65" s="277"/>
      <c r="BL65" s="277"/>
      <c r="BM65" s="277"/>
      <c r="BN65" s="278"/>
      <c r="BO65" s="277"/>
      <c r="BP65" s="277"/>
      <c r="BQ65" s="277"/>
      <c r="BR65" s="277"/>
      <c r="BS65" s="277"/>
      <c r="BT65" s="277"/>
      <c r="BU65" s="277"/>
      <c r="BV65" s="278"/>
      <c r="BW65" s="277"/>
      <c r="BX65" s="277"/>
      <c r="BY65" s="277"/>
      <c r="BZ65" s="277"/>
      <c r="CA65" s="277"/>
      <c r="CB65" s="277"/>
      <c r="CC65" s="277"/>
      <c r="CD65" s="511"/>
      <c r="CE65" s="277"/>
    </row>
    <row r="66" spans="1:83" s="142" customFormat="1" ht="26.1" customHeight="1" x14ac:dyDescent="0.2">
      <c r="A66" s="502" t="s">
        <v>556</v>
      </c>
      <c r="B66" s="647" t="s">
        <v>558</v>
      </c>
      <c r="C66" s="647"/>
      <c r="D66" s="647"/>
      <c r="E66" s="647"/>
      <c r="F66" s="647"/>
      <c r="G66" s="647"/>
      <c r="H66" s="647"/>
      <c r="I66" s="503"/>
      <c r="J66" s="503"/>
      <c r="K66" s="482">
        <f>L66+SUM(Q66:Q66)</f>
        <v>273</v>
      </c>
      <c r="L66" s="482">
        <f>SUM(M66:P66)</f>
        <v>182</v>
      </c>
      <c r="M66" s="482">
        <f>S66+Y66+AE66+AK66+AQ66+AW66+BC66+BI66+BP66+BX66</f>
        <v>0</v>
      </c>
      <c r="N66" s="482">
        <f>T66+Z66+AF66+AL66+AR66+AX66+BD66+BJ66+BQ66+BY66</f>
        <v>182</v>
      </c>
      <c r="O66" s="482">
        <f>U66+AA66+AG66+AM66+AS66+AY66+BE66+BK66+BR66+BZ66</f>
        <v>0</v>
      </c>
      <c r="P66" s="482">
        <f>V66+AB66+AH66+AN66+AT66+AZ66+BF66+BL66+BS66+CA66</f>
        <v>0</v>
      </c>
      <c r="Q66" s="482">
        <f>W66+AC66+AI66+AO66+AU66+BA66+BG66+BM66+BU66+CC66</f>
        <v>91</v>
      </c>
      <c r="R66" s="482">
        <f>SUM(S66:W66)</f>
        <v>0</v>
      </c>
      <c r="S66" s="482">
        <f>SUM(S68:S68)</f>
        <v>0</v>
      </c>
      <c r="T66" s="482">
        <f>SUM(T68:T68)</f>
        <v>0</v>
      </c>
      <c r="U66" s="482">
        <f>SUM(U68:U68)</f>
        <v>0</v>
      </c>
      <c r="V66" s="482">
        <f>SUM(V68:V68)</f>
        <v>0</v>
      </c>
      <c r="W66" s="482">
        <f>SUM(W68:W68)</f>
        <v>0</v>
      </c>
      <c r="X66" s="482">
        <f>SUM(Y66:AC66)</f>
        <v>0</v>
      </c>
      <c r="Y66" s="482">
        <f>SUM(Y68:Y68)</f>
        <v>0</v>
      </c>
      <c r="Z66" s="482">
        <f>SUM(Z68:Z68)</f>
        <v>0</v>
      </c>
      <c r="AA66" s="482">
        <f>SUM(AA68:AA68)</f>
        <v>0</v>
      </c>
      <c r="AB66" s="482">
        <f>SUM(AB68:AB68)</f>
        <v>0</v>
      </c>
      <c r="AC66" s="482">
        <f>SUM(AC68:AC68)</f>
        <v>0</v>
      </c>
      <c r="AD66" s="482">
        <f>SUM(AE66:AI66)</f>
        <v>36</v>
      </c>
      <c r="AE66" s="482">
        <f>SUM(AE68:AE68)</f>
        <v>0</v>
      </c>
      <c r="AF66" s="482">
        <f>SUM(AF68:AF68)</f>
        <v>24</v>
      </c>
      <c r="AG66" s="482">
        <f>SUM(AG68:AG68)</f>
        <v>0</v>
      </c>
      <c r="AH66" s="482">
        <f>SUM(AH68:AH68)</f>
        <v>0</v>
      </c>
      <c r="AI66" s="482">
        <f>SUM(AI68:AI68)</f>
        <v>12</v>
      </c>
      <c r="AJ66" s="482">
        <f>SUM(AK66:AO66)</f>
        <v>87</v>
      </c>
      <c r="AK66" s="482">
        <f>SUM(AK68:AK68)</f>
        <v>0</v>
      </c>
      <c r="AL66" s="482">
        <f>SUM(AL68:AL68)</f>
        <v>58</v>
      </c>
      <c r="AM66" s="482">
        <f>SUM(AM68:AM68)</f>
        <v>0</v>
      </c>
      <c r="AN66" s="482">
        <f>SUM(AN68:AN68)</f>
        <v>0</v>
      </c>
      <c r="AO66" s="482">
        <f>SUM(AO68:AO68)</f>
        <v>29</v>
      </c>
      <c r="AP66" s="482">
        <f>SUM(AQ66:AU66)</f>
        <v>0</v>
      </c>
      <c r="AQ66" s="482">
        <f>SUM(AQ68:AQ68)</f>
        <v>0</v>
      </c>
      <c r="AR66" s="482">
        <f>SUM(AR68:AR68)</f>
        <v>0</v>
      </c>
      <c r="AS66" s="482">
        <f>SUM(AS68:AS68)</f>
        <v>0</v>
      </c>
      <c r="AT66" s="482">
        <f>SUM(AT68:AT68)</f>
        <v>0</v>
      </c>
      <c r="AU66" s="482">
        <f>SUM(AU68:AU68)</f>
        <v>0</v>
      </c>
      <c r="AV66" s="482">
        <f>SUM(AW66:BA66)</f>
        <v>0</v>
      </c>
      <c r="AW66" s="482">
        <f>SUM(AW68:AW68)</f>
        <v>0</v>
      </c>
      <c r="AX66" s="482">
        <f>SUM(AX68:AX68)</f>
        <v>0</v>
      </c>
      <c r="AY66" s="482">
        <f>SUM(AY68:AY68)</f>
        <v>0</v>
      </c>
      <c r="AZ66" s="482">
        <f>SUM(AZ68:AZ68)</f>
        <v>0</v>
      </c>
      <c r="BA66" s="482">
        <f>SUM(BA68:BA68)</f>
        <v>0</v>
      </c>
      <c r="BB66" s="482">
        <f>SUM(BC66:BG66)</f>
        <v>0</v>
      </c>
      <c r="BC66" s="482">
        <f t="shared" ref="BC66:BL66" si="99">SUM(BC68:BC68)</f>
        <v>0</v>
      </c>
      <c r="BD66" s="482">
        <f t="shared" si="99"/>
        <v>0</v>
      </c>
      <c r="BE66" s="482">
        <f t="shared" si="99"/>
        <v>0</v>
      </c>
      <c r="BF66" s="482">
        <f t="shared" si="99"/>
        <v>0</v>
      </c>
      <c r="BG66" s="482">
        <f>SUM(BG68:BG68)</f>
        <v>0</v>
      </c>
      <c r="BH66" s="482">
        <f>SUM(BI66:BM66)</f>
        <v>150</v>
      </c>
      <c r="BI66" s="482">
        <f t="shared" si="99"/>
        <v>0</v>
      </c>
      <c r="BJ66" s="482">
        <f t="shared" si="99"/>
        <v>100</v>
      </c>
      <c r="BK66" s="482">
        <f t="shared" si="99"/>
        <v>0</v>
      </c>
      <c r="BL66" s="482">
        <f t="shared" si="99"/>
        <v>0</v>
      </c>
      <c r="BM66" s="482">
        <f>SUM(BM68:BM68)</f>
        <v>50</v>
      </c>
      <c r="BN66" s="482">
        <f t="shared" ref="BN66:BN70" si="100">SUM(BO66:BU66)</f>
        <v>0</v>
      </c>
      <c r="BO66" s="482">
        <f t="shared" ref="BO66:BU66" si="101">SUM(BO68:BO68)</f>
        <v>0</v>
      </c>
      <c r="BP66" s="482">
        <f t="shared" si="101"/>
        <v>0</v>
      </c>
      <c r="BQ66" s="482">
        <f t="shared" si="101"/>
        <v>0</v>
      </c>
      <c r="BR66" s="482">
        <f t="shared" si="101"/>
        <v>0</v>
      </c>
      <c r="BS66" s="482">
        <f t="shared" si="101"/>
        <v>0</v>
      </c>
      <c r="BT66" s="482">
        <f t="shared" si="101"/>
        <v>0</v>
      </c>
      <c r="BU66" s="482">
        <f t="shared" si="101"/>
        <v>0</v>
      </c>
      <c r="BV66" s="482">
        <f t="shared" ref="BV66:BV70" si="102">SUM(BW66:CC66)</f>
        <v>0</v>
      </c>
      <c r="BW66" s="482">
        <f t="shared" ref="BW66:CC66" si="103">SUM(BW68:BW68)</f>
        <v>0</v>
      </c>
      <c r="BX66" s="482">
        <f t="shared" si="103"/>
        <v>0</v>
      </c>
      <c r="BY66" s="482">
        <f t="shared" si="103"/>
        <v>0</v>
      </c>
      <c r="BZ66" s="482">
        <f t="shared" si="103"/>
        <v>0</v>
      </c>
      <c r="CA66" s="482">
        <f t="shared" si="103"/>
        <v>0</v>
      </c>
      <c r="CB66" s="482">
        <f t="shared" si="103"/>
        <v>0</v>
      </c>
      <c r="CC66" s="482">
        <f t="shared" si="103"/>
        <v>0</v>
      </c>
      <c r="CD66" s="504"/>
      <c r="CE66" s="505" t="s">
        <v>445</v>
      </c>
    </row>
    <row r="67" spans="1:83" s="142" customFormat="1" ht="26.1" customHeight="1" x14ac:dyDescent="0.2">
      <c r="A67" s="580" t="s">
        <v>557</v>
      </c>
      <c r="B67" s="648" t="s">
        <v>405</v>
      </c>
      <c r="C67" s="648"/>
      <c r="D67" s="648"/>
      <c r="E67" s="648"/>
      <c r="F67" s="648"/>
      <c r="G67" s="648"/>
      <c r="H67" s="648"/>
      <c r="I67" s="507"/>
      <c r="J67" s="507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/>
      <c r="AA67" s="483"/>
      <c r="AB67" s="483"/>
      <c r="AC67" s="483"/>
      <c r="AD67" s="483"/>
      <c r="AE67" s="483"/>
      <c r="AF67" s="483"/>
      <c r="AG67" s="483"/>
      <c r="AH67" s="483"/>
      <c r="AI67" s="483"/>
      <c r="AJ67" s="483"/>
      <c r="AK67" s="483"/>
      <c r="AL67" s="483"/>
      <c r="AM67" s="483"/>
      <c r="AN67" s="483"/>
      <c r="AO67" s="483"/>
      <c r="AP67" s="483"/>
      <c r="AQ67" s="483"/>
      <c r="AR67" s="483"/>
      <c r="AS67" s="483"/>
      <c r="AT67" s="483"/>
      <c r="AU67" s="483"/>
      <c r="AV67" s="483"/>
      <c r="AW67" s="483"/>
      <c r="AX67" s="483"/>
      <c r="AY67" s="483"/>
      <c r="AZ67" s="483"/>
      <c r="BA67" s="483"/>
      <c r="BB67" s="483"/>
      <c r="BC67" s="582"/>
      <c r="BD67" s="582"/>
      <c r="BE67" s="582"/>
      <c r="BF67" s="582"/>
      <c r="BG67" s="582"/>
      <c r="BH67" s="582"/>
      <c r="BI67" s="582"/>
      <c r="BJ67" s="582"/>
      <c r="BK67" s="582"/>
      <c r="BL67" s="582"/>
      <c r="BM67" s="582"/>
      <c r="BN67" s="483"/>
      <c r="BO67" s="483"/>
      <c r="BP67" s="483"/>
      <c r="BQ67" s="483"/>
      <c r="BR67" s="483"/>
      <c r="BS67" s="483"/>
      <c r="BT67" s="483"/>
      <c r="BU67" s="483"/>
      <c r="BV67" s="483"/>
      <c r="BW67" s="483"/>
      <c r="BX67" s="483"/>
      <c r="BY67" s="483"/>
      <c r="BZ67" s="483"/>
      <c r="CA67" s="483"/>
      <c r="CB67" s="483"/>
      <c r="CC67" s="483"/>
      <c r="CD67" s="508"/>
      <c r="CE67" s="505" t="s">
        <v>445</v>
      </c>
    </row>
    <row r="68" spans="1:83" s="142" customFormat="1" ht="26.1" customHeight="1" x14ac:dyDescent="0.2">
      <c r="A68" s="135"/>
      <c r="B68" s="134" t="s">
        <v>405</v>
      </c>
      <c r="C68" s="134"/>
      <c r="D68" s="135"/>
      <c r="E68" s="145"/>
      <c r="F68" s="135" t="s">
        <v>542</v>
      </c>
      <c r="G68" s="135"/>
      <c r="H68" s="135" t="s">
        <v>29</v>
      </c>
      <c r="I68" s="139"/>
      <c r="J68" s="139"/>
      <c r="K68" s="138">
        <f>L68+SUM(Q68:Q68)</f>
        <v>273</v>
      </c>
      <c r="L68" s="138">
        <f>SUM(M68:P68)</f>
        <v>182</v>
      </c>
      <c r="M68" s="138">
        <f>S68+Y68+AE68+AK68+AQ68+AW68+BC68+BI68+BP68+BX68</f>
        <v>0</v>
      </c>
      <c r="N68" s="138">
        <f>T68+Z68+AF68+AL68+AR68+AX68+BD68+BJ68+BQ68+BY68</f>
        <v>182</v>
      </c>
      <c r="O68" s="138">
        <f>U68+AA68+AG68+AM68+AS68+AY68+BE68+BK68+BR68+BZ68</f>
        <v>0</v>
      </c>
      <c r="P68" s="138">
        <f>V68+AB68+AH68+AN68+AT68+AZ68+BF68+BL68+BS68+CA68</f>
        <v>0</v>
      </c>
      <c r="Q68" s="138">
        <f>W68+AC68+AI68+AO68+AU68+BA68+BG68+BM68+BU68+CC68</f>
        <v>91</v>
      </c>
      <c r="R68" s="237">
        <f>SUM(S68:W68)</f>
        <v>0</v>
      </c>
      <c r="S68" s="139"/>
      <c r="T68" s="139"/>
      <c r="U68" s="139"/>
      <c r="V68" s="139"/>
      <c r="W68" s="139"/>
      <c r="X68" s="237">
        <f>SUM(Y68:AC68)</f>
        <v>0</v>
      </c>
      <c r="Y68" s="139"/>
      <c r="Z68" s="139"/>
      <c r="AA68" s="139"/>
      <c r="AB68" s="139"/>
      <c r="AC68" s="139"/>
      <c r="AD68" s="237">
        <f>SUM(AE68:AI68)</f>
        <v>36</v>
      </c>
      <c r="AE68" s="139"/>
      <c r="AF68" s="139">
        <v>24</v>
      </c>
      <c r="AG68" s="139"/>
      <c r="AH68" s="139"/>
      <c r="AI68" s="139">
        <v>12</v>
      </c>
      <c r="AJ68" s="237">
        <f>SUM(AK68:AO68)</f>
        <v>87</v>
      </c>
      <c r="AK68" s="139"/>
      <c r="AL68" s="139">
        <v>58</v>
      </c>
      <c r="AM68" s="139"/>
      <c r="AN68" s="139"/>
      <c r="AO68" s="139">
        <v>29</v>
      </c>
      <c r="AP68" s="237">
        <f>SUM(AQ68:AU68)</f>
        <v>0</v>
      </c>
      <c r="AQ68" s="139"/>
      <c r="AR68" s="139"/>
      <c r="AS68" s="139"/>
      <c r="AT68" s="139"/>
      <c r="AU68" s="139"/>
      <c r="AV68" s="237">
        <f>SUM(AW68:BA68)</f>
        <v>0</v>
      </c>
      <c r="AW68" s="139"/>
      <c r="AX68" s="139"/>
      <c r="AY68" s="139"/>
      <c r="AZ68" s="139"/>
      <c r="BA68" s="139"/>
      <c r="BB68" s="237">
        <f>SUM(BC68:BG68)</f>
        <v>0</v>
      </c>
      <c r="BC68" s="139"/>
      <c r="BD68" s="139"/>
      <c r="BE68" s="139"/>
      <c r="BF68" s="139"/>
      <c r="BG68" s="139"/>
      <c r="BH68" s="237">
        <f>SUM(BI68:BM68)</f>
        <v>150</v>
      </c>
      <c r="BI68" s="139"/>
      <c r="BJ68" s="139">
        <v>100</v>
      </c>
      <c r="BK68" s="139"/>
      <c r="BL68" s="139"/>
      <c r="BM68" s="139">
        <v>50</v>
      </c>
      <c r="BN68" s="237"/>
      <c r="BO68" s="139"/>
      <c r="BP68" s="139"/>
      <c r="BQ68" s="139"/>
      <c r="BR68" s="139"/>
      <c r="BS68" s="139"/>
      <c r="BT68" s="139"/>
      <c r="BU68" s="139"/>
      <c r="BV68" s="237"/>
      <c r="BW68" s="139"/>
      <c r="BX68" s="139"/>
      <c r="BY68" s="139"/>
      <c r="BZ68" s="139"/>
      <c r="CA68" s="139"/>
      <c r="CB68" s="139"/>
      <c r="CC68" s="139"/>
      <c r="CD68" s="135" t="s">
        <v>357</v>
      </c>
      <c r="CE68" s="499" t="s">
        <v>445</v>
      </c>
    </row>
    <row r="69" spans="1:83" s="142" customFormat="1" ht="17.25" customHeight="1" x14ac:dyDescent="0.2">
      <c r="A69" s="649" t="s">
        <v>353</v>
      </c>
      <c r="B69" s="649"/>
      <c r="C69" s="276"/>
      <c r="D69" s="357" t="s">
        <v>37</v>
      </c>
      <c r="E69" s="295"/>
      <c r="F69" s="276"/>
      <c r="G69" s="276"/>
      <c r="H69" s="276"/>
      <c r="I69" s="277"/>
      <c r="J69" s="277"/>
      <c r="K69" s="278"/>
      <c r="L69" s="278"/>
      <c r="M69" s="278"/>
      <c r="N69" s="278"/>
      <c r="O69" s="278"/>
      <c r="P69" s="278"/>
      <c r="Q69" s="278"/>
      <c r="R69" s="278"/>
      <c r="S69" s="277"/>
      <c r="T69" s="277"/>
      <c r="U69" s="277"/>
      <c r="V69" s="277"/>
      <c r="W69" s="277"/>
      <c r="X69" s="278"/>
      <c r="Y69" s="277"/>
      <c r="Z69" s="277"/>
      <c r="AA69" s="277"/>
      <c r="AB69" s="277"/>
      <c r="AC69" s="277"/>
      <c r="AD69" s="278"/>
      <c r="AE69" s="277"/>
      <c r="AF69" s="277"/>
      <c r="AG69" s="277"/>
      <c r="AH69" s="277"/>
      <c r="AI69" s="277"/>
      <c r="AJ69" s="278"/>
      <c r="AK69" s="277"/>
      <c r="AL69" s="277"/>
      <c r="AM69" s="277"/>
      <c r="AN69" s="277"/>
      <c r="AO69" s="277"/>
      <c r="AP69" s="278"/>
      <c r="AQ69" s="277"/>
      <c r="AR69" s="277"/>
      <c r="AS69" s="277"/>
      <c r="AT69" s="277"/>
      <c r="AU69" s="277"/>
      <c r="AV69" s="278"/>
      <c r="AW69" s="277"/>
      <c r="AX69" s="277"/>
      <c r="AY69" s="277"/>
      <c r="AZ69" s="277"/>
      <c r="BA69" s="277"/>
      <c r="BB69" s="278"/>
      <c r="BC69" s="277"/>
      <c r="BD69" s="277"/>
      <c r="BE69" s="277"/>
      <c r="BF69" s="277"/>
      <c r="BG69" s="277"/>
      <c r="BH69" s="278"/>
      <c r="BI69" s="277"/>
      <c r="BJ69" s="277"/>
      <c r="BK69" s="277"/>
      <c r="BL69" s="277"/>
      <c r="BM69" s="277"/>
      <c r="BN69" s="278"/>
      <c r="BO69" s="277"/>
      <c r="BP69" s="277"/>
      <c r="BQ69" s="277"/>
      <c r="BR69" s="277"/>
      <c r="BS69" s="277"/>
      <c r="BT69" s="277"/>
      <c r="BU69" s="277"/>
      <c r="BV69" s="278"/>
      <c r="BW69" s="277"/>
      <c r="BX69" s="277"/>
      <c r="BY69" s="277"/>
      <c r="BZ69" s="277"/>
      <c r="CA69" s="277"/>
      <c r="CB69" s="277"/>
      <c r="CC69" s="277"/>
      <c r="CD69" s="511"/>
      <c r="CE69" s="277"/>
    </row>
    <row r="70" spans="1:83" s="142" customFormat="1" ht="26.1" customHeight="1" x14ac:dyDescent="0.2">
      <c r="A70" s="502" t="s">
        <v>188</v>
      </c>
      <c r="B70" s="647" t="s">
        <v>189</v>
      </c>
      <c r="C70" s="647"/>
      <c r="D70" s="647"/>
      <c r="E70" s="647"/>
      <c r="F70" s="647"/>
      <c r="G70" s="647"/>
      <c r="H70" s="647"/>
      <c r="I70" s="503"/>
      <c r="J70" s="503"/>
      <c r="K70" s="482">
        <f>L70+SUM(Q70:Q70)</f>
        <v>96</v>
      </c>
      <c r="L70" s="482">
        <f>SUM(M70:P70)</f>
        <v>64</v>
      </c>
      <c r="M70" s="482">
        <f t="shared" ref="M70:P74" si="104">S70+Y70+AE70+AK70+AQ70+AW70+BC70+BI70+BP70+BX70</f>
        <v>52</v>
      </c>
      <c r="N70" s="482">
        <f t="shared" si="104"/>
        <v>12</v>
      </c>
      <c r="O70" s="482">
        <f t="shared" si="104"/>
        <v>0</v>
      </c>
      <c r="P70" s="482">
        <f t="shared" si="104"/>
        <v>0</v>
      </c>
      <c r="Q70" s="482">
        <f>W70+AC70+AI70+AO70+AU70+BA70+BG70+BM70+BU70+CC70</f>
        <v>32</v>
      </c>
      <c r="R70" s="482">
        <f>SUM(S70:W70)</f>
        <v>0</v>
      </c>
      <c r="S70" s="482">
        <f t="shared" ref="S70:W70" si="105">SUM(S71:S74)</f>
        <v>0</v>
      </c>
      <c r="T70" s="482">
        <f t="shared" si="105"/>
        <v>0</v>
      </c>
      <c r="U70" s="482">
        <f t="shared" si="105"/>
        <v>0</v>
      </c>
      <c r="V70" s="482">
        <f t="shared" si="105"/>
        <v>0</v>
      </c>
      <c r="W70" s="482">
        <f t="shared" si="105"/>
        <v>0</v>
      </c>
      <c r="X70" s="482">
        <f>SUM(Y70:AC70)</f>
        <v>0</v>
      </c>
      <c r="Y70" s="482">
        <f t="shared" ref="Y70:AC70" si="106">SUM(Y71:Y74)</f>
        <v>0</v>
      </c>
      <c r="Z70" s="482">
        <f t="shared" si="106"/>
        <v>0</v>
      </c>
      <c r="AA70" s="482">
        <f t="shared" si="106"/>
        <v>0</v>
      </c>
      <c r="AB70" s="482">
        <f t="shared" si="106"/>
        <v>0</v>
      </c>
      <c r="AC70" s="482">
        <f t="shared" si="106"/>
        <v>0</v>
      </c>
      <c r="AD70" s="482">
        <f>SUM(AE70:AI70)</f>
        <v>0</v>
      </c>
      <c r="AE70" s="482">
        <f t="shared" ref="AE70:AI70" si="107">SUM(AE71:AE74)</f>
        <v>0</v>
      </c>
      <c r="AF70" s="482">
        <f t="shared" si="107"/>
        <v>0</v>
      </c>
      <c r="AG70" s="482">
        <f t="shared" si="107"/>
        <v>0</v>
      </c>
      <c r="AH70" s="482">
        <f t="shared" si="107"/>
        <v>0</v>
      </c>
      <c r="AI70" s="482">
        <f t="shared" si="107"/>
        <v>0</v>
      </c>
      <c r="AJ70" s="482">
        <f>SUM(AK70:AO70)</f>
        <v>0</v>
      </c>
      <c r="AK70" s="482">
        <f t="shared" ref="AK70:AO70" si="108">SUM(AK71:AK74)</f>
        <v>0</v>
      </c>
      <c r="AL70" s="482">
        <f t="shared" si="108"/>
        <v>0</v>
      </c>
      <c r="AM70" s="482">
        <f t="shared" si="108"/>
        <v>0</v>
      </c>
      <c r="AN70" s="482">
        <f t="shared" si="108"/>
        <v>0</v>
      </c>
      <c r="AO70" s="482">
        <f t="shared" si="108"/>
        <v>0</v>
      </c>
      <c r="AP70" s="482">
        <f>SUM(AQ70:AU70)</f>
        <v>96</v>
      </c>
      <c r="AQ70" s="482">
        <f t="shared" ref="AQ70:AU70" si="109">SUM(AQ71:AQ74)</f>
        <v>52</v>
      </c>
      <c r="AR70" s="482">
        <f t="shared" si="109"/>
        <v>12</v>
      </c>
      <c r="AS70" s="482">
        <f t="shared" si="109"/>
        <v>0</v>
      </c>
      <c r="AT70" s="482">
        <f t="shared" si="109"/>
        <v>0</v>
      </c>
      <c r="AU70" s="482">
        <f t="shared" si="109"/>
        <v>32</v>
      </c>
      <c r="AV70" s="482">
        <f>SUM(AW70:BA70)</f>
        <v>0</v>
      </c>
      <c r="AW70" s="482">
        <f t="shared" ref="AW70:BA70" si="110">SUM(AW71:AW74)</f>
        <v>0</v>
      </c>
      <c r="AX70" s="482">
        <f t="shared" si="110"/>
        <v>0</v>
      </c>
      <c r="AY70" s="482">
        <f t="shared" si="110"/>
        <v>0</v>
      </c>
      <c r="AZ70" s="482">
        <f t="shared" si="110"/>
        <v>0</v>
      </c>
      <c r="BA70" s="482">
        <f t="shared" si="110"/>
        <v>0</v>
      </c>
      <c r="BB70" s="482">
        <f>SUM(BC70:BG70)</f>
        <v>0</v>
      </c>
      <c r="BC70" s="482">
        <f t="shared" ref="BC70:BG70" si="111">SUM(BC71:BC74)</f>
        <v>0</v>
      </c>
      <c r="BD70" s="482">
        <f t="shared" si="111"/>
        <v>0</v>
      </c>
      <c r="BE70" s="482">
        <f t="shared" si="111"/>
        <v>0</v>
      </c>
      <c r="BF70" s="482">
        <f t="shared" si="111"/>
        <v>0</v>
      </c>
      <c r="BG70" s="482">
        <f t="shared" si="111"/>
        <v>0</v>
      </c>
      <c r="BH70" s="482">
        <f>SUM(BI70:BM70)</f>
        <v>0</v>
      </c>
      <c r="BI70" s="482">
        <f t="shared" ref="BI70:BM70" si="112">SUM(BI71:BI74)</f>
        <v>0</v>
      </c>
      <c r="BJ70" s="482">
        <f t="shared" si="112"/>
        <v>0</v>
      </c>
      <c r="BK70" s="482">
        <f t="shared" si="112"/>
        <v>0</v>
      </c>
      <c r="BL70" s="482">
        <f t="shared" si="112"/>
        <v>0</v>
      </c>
      <c r="BM70" s="482">
        <f t="shared" si="112"/>
        <v>0</v>
      </c>
      <c r="BN70" s="482">
        <f t="shared" si="100"/>
        <v>0</v>
      </c>
      <c r="BO70" s="482">
        <f t="shared" ref="BO70:BU70" si="113">SUM(BO74:BO74)</f>
        <v>0</v>
      </c>
      <c r="BP70" s="482">
        <f t="shared" si="113"/>
        <v>0</v>
      </c>
      <c r="BQ70" s="482">
        <f t="shared" si="113"/>
        <v>0</v>
      </c>
      <c r="BR70" s="482">
        <f t="shared" si="113"/>
        <v>0</v>
      </c>
      <c r="BS70" s="482">
        <f t="shared" si="113"/>
        <v>0</v>
      </c>
      <c r="BT70" s="482">
        <f t="shared" si="113"/>
        <v>0</v>
      </c>
      <c r="BU70" s="482">
        <f t="shared" si="113"/>
        <v>0</v>
      </c>
      <c r="BV70" s="482">
        <f t="shared" si="102"/>
        <v>0</v>
      </c>
      <c r="BW70" s="482">
        <f t="shared" ref="BW70:CC70" si="114">SUM(BW74:BW74)</f>
        <v>0</v>
      </c>
      <c r="BX70" s="482">
        <f t="shared" si="114"/>
        <v>0</v>
      </c>
      <c r="BY70" s="482">
        <f t="shared" si="114"/>
        <v>0</v>
      </c>
      <c r="BZ70" s="482">
        <f t="shared" si="114"/>
        <v>0</v>
      </c>
      <c r="CA70" s="482">
        <f t="shared" si="114"/>
        <v>0</v>
      </c>
      <c r="CB70" s="482">
        <f t="shared" si="114"/>
        <v>0</v>
      </c>
      <c r="CC70" s="482">
        <f t="shared" si="114"/>
        <v>0</v>
      </c>
      <c r="CD70" s="504"/>
      <c r="CE70" s="505"/>
    </row>
    <row r="71" spans="1:83" s="142" customFormat="1" ht="26.1" customHeight="1" x14ac:dyDescent="0.2">
      <c r="A71" s="145"/>
      <c r="B71" s="144" t="s">
        <v>510</v>
      </c>
      <c r="C71" s="134"/>
      <c r="D71" s="135"/>
      <c r="E71" s="135" t="s">
        <v>40</v>
      </c>
      <c r="F71" s="135"/>
      <c r="G71" s="135"/>
      <c r="H71" s="135"/>
      <c r="I71" s="157"/>
      <c r="J71" s="157"/>
      <c r="K71" s="138">
        <f>L71+SUM(Q71:Q71)</f>
        <v>96</v>
      </c>
      <c r="L71" s="138">
        <f>SUM(M71:P71)</f>
        <v>64</v>
      </c>
      <c r="M71" s="138">
        <f t="shared" si="104"/>
        <v>52</v>
      </c>
      <c r="N71" s="138">
        <f t="shared" si="104"/>
        <v>12</v>
      </c>
      <c r="O71" s="138">
        <f t="shared" si="104"/>
        <v>0</v>
      </c>
      <c r="P71" s="138">
        <f t="shared" si="104"/>
        <v>0</v>
      </c>
      <c r="Q71" s="138">
        <f>W71+AC71+AI71+AO71+AU71+BA71+BG71+BM71+BU71+CC71</f>
        <v>32</v>
      </c>
      <c r="R71" s="237">
        <f>SUM(S71:W71)</f>
        <v>0</v>
      </c>
      <c r="S71" s="139"/>
      <c r="T71" s="139"/>
      <c r="U71" s="139"/>
      <c r="V71" s="139"/>
      <c r="W71" s="139"/>
      <c r="X71" s="237">
        <f>SUM(Y71:AC71)</f>
        <v>0</v>
      </c>
      <c r="Y71" s="139"/>
      <c r="Z71" s="139"/>
      <c r="AA71" s="139"/>
      <c r="AB71" s="139"/>
      <c r="AC71" s="139"/>
      <c r="AD71" s="237">
        <f>SUM(AE71:AI71)</f>
        <v>0</v>
      </c>
      <c r="AE71" s="139"/>
      <c r="AF71" s="139"/>
      <c r="AG71" s="139"/>
      <c r="AH71" s="139"/>
      <c r="AI71" s="139"/>
      <c r="AJ71" s="237">
        <f>SUM(AK71:AO71)</f>
        <v>0</v>
      </c>
      <c r="AK71" s="139"/>
      <c r="AL71" s="139"/>
      <c r="AM71" s="139"/>
      <c r="AN71" s="139"/>
      <c r="AO71" s="139"/>
      <c r="AP71" s="237">
        <f>SUM(AQ71:AU71)</f>
        <v>96</v>
      </c>
      <c r="AQ71" s="157">
        <v>52</v>
      </c>
      <c r="AR71" s="157">
        <v>12</v>
      </c>
      <c r="AS71" s="157"/>
      <c r="AT71" s="157"/>
      <c r="AU71" s="157">
        <v>32</v>
      </c>
      <c r="AV71" s="237">
        <f>SUM(AW71:BA71)</f>
        <v>0</v>
      </c>
      <c r="AW71" s="139"/>
      <c r="AX71" s="139"/>
      <c r="AY71" s="139"/>
      <c r="AZ71" s="139"/>
      <c r="BA71" s="139"/>
      <c r="BB71" s="237">
        <f>SUM(BC71:BG71)</f>
        <v>0</v>
      </c>
      <c r="BC71" s="139"/>
      <c r="BD71" s="139"/>
      <c r="BE71" s="139"/>
      <c r="BF71" s="139"/>
      <c r="BG71" s="139"/>
      <c r="BH71" s="237">
        <f>SUM(BI71:BM71)</f>
        <v>0</v>
      </c>
      <c r="BI71" s="139"/>
      <c r="BJ71" s="139"/>
      <c r="BK71" s="139"/>
      <c r="BL71" s="139"/>
      <c r="BM71" s="139"/>
      <c r="BN71" s="237">
        <f t="shared" ref="BN71:BN72" si="115">SUM(BO71:BU71)</f>
        <v>0</v>
      </c>
      <c r="BO71" s="139"/>
      <c r="BP71" s="139"/>
      <c r="BQ71" s="139"/>
      <c r="BR71" s="139"/>
      <c r="BS71" s="139"/>
      <c r="BT71" s="139"/>
      <c r="BU71" s="139"/>
      <c r="BV71" s="237">
        <f t="shared" ref="BV71:BV72" si="116">SUM(BW71:CC71)</f>
        <v>0</v>
      </c>
      <c r="BW71" s="139"/>
      <c r="BX71" s="139"/>
      <c r="BY71" s="139"/>
      <c r="BZ71" s="139"/>
      <c r="CA71" s="139"/>
      <c r="CB71" s="139"/>
      <c r="CC71" s="139"/>
      <c r="CD71" s="135" t="s">
        <v>481</v>
      </c>
      <c r="CE71" s="586" t="s">
        <v>582</v>
      </c>
    </row>
    <row r="72" spans="1:83" s="142" customFormat="1" ht="26.1" hidden="1" customHeight="1" x14ac:dyDescent="0.2">
      <c r="A72" s="145"/>
      <c r="B72" s="512"/>
      <c r="C72" s="134"/>
      <c r="D72" s="135"/>
      <c r="E72" s="135"/>
      <c r="F72" s="135"/>
      <c r="G72" s="135"/>
      <c r="H72" s="135"/>
      <c r="I72" s="139"/>
      <c r="J72" s="139"/>
      <c r="K72" s="138">
        <f>L72+SUM(Q72:Q72)</f>
        <v>0</v>
      </c>
      <c r="L72" s="138">
        <f>SUM(M72:P72)</f>
        <v>0</v>
      </c>
      <c r="M72" s="138">
        <f t="shared" si="104"/>
        <v>0</v>
      </c>
      <c r="N72" s="138">
        <f t="shared" si="104"/>
        <v>0</v>
      </c>
      <c r="O72" s="138">
        <f t="shared" si="104"/>
        <v>0</v>
      </c>
      <c r="P72" s="138">
        <f t="shared" si="104"/>
        <v>0</v>
      </c>
      <c r="Q72" s="138">
        <f>W72+AC72+AI72+AO72+AU72+BA72+BG72+BM72+BU72+CC72</f>
        <v>0</v>
      </c>
      <c r="R72" s="237">
        <f>SUM(S72:W72)</f>
        <v>0</v>
      </c>
      <c r="S72" s="139"/>
      <c r="T72" s="139"/>
      <c r="U72" s="139"/>
      <c r="V72" s="139"/>
      <c r="W72" s="139"/>
      <c r="X72" s="237">
        <f>SUM(Y72:AC72)</f>
        <v>0</v>
      </c>
      <c r="Y72" s="139"/>
      <c r="Z72" s="139"/>
      <c r="AA72" s="139"/>
      <c r="AB72" s="139"/>
      <c r="AC72" s="139"/>
      <c r="AD72" s="237">
        <f>SUM(AE72:AI72)</f>
        <v>0</v>
      </c>
      <c r="AE72" s="139"/>
      <c r="AF72" s="139"/>
      <c r="AG72" s="139"/>
      <c r="AH72" s="139"/>
      <c r="AI72" s="139"/>
      <c r="AJ72" s="237">
        <f>SUM(AK72:AO72)</f>
        <v>0</v>
      </c>
      <c r="AK72" s="139"/>
      <c r="AL72" s="139"/>
      <c r="AM72" s="139"/>
      <c r="AN72" s="139"/>
      <c r="AO72" s="139"/>
      <c r="AP72" s="237">
        <f>SUM(AQ72:AU72)</f>
        <v>0</v>
      </c>
      <c r="AQ72" s="157"/>
      <c r="AR72" s="139"/>
      <c r="AS72" s="139"/>
      <c r="AT72" s="139"/>
      <c r="AU72" s="139"/>
      <c r="AV72" s="237">
        <f>SUM(AW72:BA72)</f>
        <v>0</v>
      </c>
      <c r="AW72" s="139"/>
      <c r="AX72" s="139"/>
      <c r="AY72" s="139"/>
      <c r="AZ72" s="139"/>
      <c r="BA72" s="139"/>
      <c r="BB72" s="237">
        <f>SUM(BC72:BG72)</f>
        <v>0</v>
      </c>
      <c r="BC72" s="139"/>
      <c r="BD72" s="139"/>
      <c r="BE72" s="139"/>
      <c r="BF72" s="139"/>
      <c r="BG72" s="139"/>
      <c r="BH72" s="237">
        <f>SUM(BI72:BM72)</f>
        <v>0</v>
      </c>
      <c r="BI72" s="139"/>
      <c r="BJ72" s="139"/>
      <c r="BK72" s="139"/>
      <c r="BL72" s="139"/>
      <c r="BM72" s="139"/>
      <c r="BN72" s="237">
        <f t="shared" si="115"/>
        <v>0</v>
      </c>
      <c r="BO72" s="139"/>
      <c r="BP72" s="139"/>
      <c r="BQ72" s="139"/>
      <c r="BR72" s="139"/>
      <c r="BS72" s="139"/>
      <c r="BT72" s="139"/>
      <c r="BU72" s="139"/>
      <c r="BV72" s="237">
        <f t="shared" si="116"/>
        <v>0</v>
      </c>
      <c r="BW72" s="139"/>
      <c r="BX72" s="139"/>
      <c r="BY72" s="139"/>
      <c r="BZ72" s="139"/>
      <c r="CA72" s="139"/>
      <c r="CB72" s="139"/>
      <c r="CC72" s="139"/>
      <c r="CD72" s="145" t="s">
        <v>481</v>
      </c>
      <c r="CE72" s="499" t="s">
        <v>454</v>
      </c>
    </row>
    <row r="73" spans="1:83" s="142" customFormat="1" ht="26.1" hidden="1" customHeight="1" x14ac:dyDescent="0.2">
      <c r="A73" s="145"/>
      <c r="B73" s="512"/>
      <c r="C73" s="134"/>
      <c r="D73" s="135"/>
      <c r="E73" s="135"/>
      <c r="F73" s="135"/>
      <c r="G73" s="135"/>
      <c r="H73" s="135"/>
      <c r="I73" s="139"/>
      <c r="J73" s="139"/>
      <c r="K73" s="138">
        <f>L73+SUM(Q73:Q73)</f>
        <v>0</v>
      </c>
      <c r="L73" s="138">
        <f>SUM(M73:P73)</f>
        <v>0</v>
      </c>
      <c r="M73" s="138">
        <f t="shared" si="104"/>
        <v>0</v>
      </c>
      <c r="N73" s="138">
        <f t="shared" si="104"/>
        <v>0</v>
      </c>
      <c r="O73" s="138">
        <f t="shared" si="104"/>
        <v>0</v>
      </c>
      <c r="P73" s="138">
        <f t="shared" si="104"/>
        <v>0</v>
      </c>
      <c r="Q73" s="138">
        <f>W73+AC73+AI73+AO73+AU73+BA73+BG73+BM73+BU73+CC73</f>
        <v>0</v>
      </c>
      <c r="R73" s="237">
        <f>SUM(S73:W73)</f>
        <v>0</v>
      </c>
      <c r="S73" s="139"/>
      <c r="T73" s="139"/>
      <c r="U73" s="139"/>
      <c r="V73" s="139"/>
      <c r="W73" s="139"/>
      <c r="X73" s="237">
        <f>SUM(Y73:AC73)</f>
        <v>0</v>
      </c>
      <c r="Y73" s="139"/>
      <c r="Z73" s="139"/>
      <c r="AA73" s="139"/>
      <c r="AB73" s="139"/>
      <c r="AC73" s="139"/>
      <c r="AD73" s="237">
        <f>SUM(AE73:AI73)</f>
        <v>0</v>
      </c>
      <c r="AE73" s="139"/>
      <c r="AF73" s="139"/>
      <c r="AG73" s="139"/>
      <c r="AH73" s="139"/>
      <c r="AI73" s="139"/>
      <c r="AJ73" s="237">
        <f>SUM(AK73:AO73)</f>
        <v>0</v>
      </c>
      <c r="AK73" s="157"/>
      <c r="AL73" s="139"/>
      <c r="AM73" s="139"/>
      <c r="AN73" s="139"/>
      <c r="AO73" s="139"/>
      <c r="AP73" s="237">
        <f>SUM(AQ73:AU73)</f>
        <v>0</v>
      </c>
      <c r="AQ73" s="157"/>
      <c r="AR73" s="139"/>
      <c r="AS73" s="139"/>
      <c r="AT73" s="139"/>
      <c r="AU73" s="139"/>
      <c r="AV73" s="237">
        <f>SUM(AW73:BA73)</f>
        <v>0</v>
      </c>
      <c r="AW73" s="139"/>
      <c r="AX73" s="139"/>
      <c r="AY73" s="139"/>
      <c r="AZ73" s="139"/>
      <c r="BA73" s="139"/>
      <c r="BB73" s="237">
        <f>SUM(BC73:BG73)</f>
        <v>0</v>
      </c>
      <c r="BC73" s="139"/>
      <c r="BD73" s="139"/>
      <c r="BE73" s="139"/>
      <c r="BF73" s="139"/>
      <c r="BG73" s="139"/>
      <c r="BH73" s="237">
        <f>SUM(BI73:BM73)</f>
        <v>0</v>
      </c>
      <c r="BI73" s="139"/>
      <c r="BJ73" s="139"/>
      <c r="BK73" s="139"/>
      <c r="BL73" s="139"/>
      <c r="BM73" s="139"/>
      <c r="BN73" s="237"/>
      <c r="BO73" s="139"/>
      <c r="BP73" s="139"/>
      <c r="BQ73" s="139"/>
      <c r="BR73" s="139"/>
      <c r="BS73" s="139"/>
      <c r="BT73" s="139"/>
      <c r="BU73" s="139"/>
      <c r="BV73" s="237"/>
      <c r="BW73" s="139"/>
      <c r="BX73" s="139"/>
      <c r="BY73" s="139"/>
      <c r="BZ73" s="139"/>
      <c r="CA73" s="139"/>
      <c r="CB73" s="139"/>
      <c r="CC73" s="139"/>
      <c r="CD73" s="145" t="s">
        <v>480</v>
      </c>
      <c r="CE73" s="499" t="s">
        <v>454</v>
      </c>
    </row>
    <row r="74" spans="1:83" s="142" customFormat="1" ht="26.1" hidden="1" customHeight="1" x14ac:dyDescent="0.2">
      <c r="A74" s="145"/>
      <c r="B74" s="144"/>
      <c r="C74" s="134"/>
      <c r="D74" s="135"/>
      <c r="E74" s="135"/>
      <c r="F74" s="135"/>
      <c r="G74" s="135"/>
      <c r="H74" s="135"/>
      <c r="I74" s="139"/>
      <c r="J74" s="157"/>
      <c r="K74" s="138">
        <f>L74+SUM(Q74:Q74)</f>
        <v>0</v>
      </c>
      <c r="L74" s="138">
        <f>SUM(M74:P74)</f>
        <v>0</v>
      </c>
      <c r="M74" s="138">
        <f t="shared" si="104"/>
        <v>0</v>
      </c>
      <c r="N74" s="138">
        <f t="shared" si="104"/>
        <v>0</v>
      </c>
      <c r="O74" s="138">
        <f t="shared" si="104"/>
        <v>0</v>
      </c>
      <c r="P74" s="138">
        <f t="shared" si="104"/>
        <v>0</v>
      </c>
      <c r="Q74" s="138">
        <f>W74+AC74+AI74+AO74+AU74+BA74+BG74+BM74+BU74+CC74</f>
        <v>0</v>
      </c>
      <c r="R74" s="237">
        <f>SUM(S74:W74)</f>
        <v>0</v>
      </c>
      <c r="S74" s="139"/>
      <c r="T74" s="139"/>
      <c r="U74" s="139"/>
      <c r="V74" s="139"/>
      <c r="W74" s="139"/>
      <c r="X74" s="237">
        <f>SUM(Y74:AC74)</f>
        <v>0</v>
      </c>
      <c r="Y74" s="139"/>
      <c r="Z74" s="139"/>
      <c r="AA74" s="139"/>
      <c r="AB74" s="139"/>
      <c r="AC74" s="139"/>
      <c r="AD74" s="237">
        <f>SUM(AE74:AI74)</f>
        <v>0</v>
      </c>
      <c r="AE74" s="139"/>
      <c r="AF74" s="139"/>
      <c r="AG74" s="139"/>
      <c r="AH74" s="139"/>
      <c r="AI74" s="139"/>
      <c r="AJ74" s="237">
        <f>SUM(AK74:AO74)</f>
        <v>0</v>
      </c>
      <c r="AK74" s="139"/>
      <c r="AL74" s="139"/>
      <c r="AM74" s="139"/>
      <c r="AN74" s="139"/>
      <c r="AO74" s="139"/>
      <c r="AP74" s="237">
        <f>SUM(AQ74:AU74)</f>
        <v>0</v>
      </c>
      <c r="AQ74" s="157"/>
      <c r="AR74" s="157"/>
      <c r="AS74" s="157"/>
      <c r="AT74" s="157"/>
      <c r="AU74" s="157"/>
      <c r="AV74" s="237">
        <f>SUM(AW74:BA74)</f>
        <v>0</v>
      </c>
      <c r="AW74" s="139"/>
      <c r="AX74" s="139"/>
      <c r="AY74" s="139"/>
      <c r="AZ74" s="139"/>
      <c r="BA74" s="139"/>
      <c r="BB74" s="237">
        <f>SUM(BC74:BG74)</f>
        <v>0</v>
      </c>
      <c r="BC74" s="139"/>
      <c r="BD74" s="139"/>
      <c r="BE74" s="139"/>
      <c r="BF74" s="139"/>
      <c r="BG74" s="139"/>
      <c r="BH74" s="237">
        <f>SUM(BI74:BM74)</f>
        <v>0</v>
      </c>
      <c r="BI74" s="139"/>
      <c r="BJ74" s="139"/>
      <c r="BK74" s="139"/>
      <c r="BL74" s="139"/>
      <c r="BM74" s="139"/>
      <c r="BN74" s="237"/>
      <c r="BO74" s="139"/>
      <c r="BP74" s="139"/>
      <c r="BQ74" s="139"/>
      <c r="BR74" s="139"/>
      <c r="BS74" s="139"/>
      <c r="BT74" s="139"/>
      <c r="BU74" s="139"/>
      <c r="BV74" s="237"/>
      <c r="BW74" s="139"/>
      <c r="BX74" s="139"/>
      <c r="BY74" s="139"/>
      <c r="BZ74" s="139"/>
      <c r="CA74" s="139"/>
      <c r="CB74" s="139"/>
      <c r="CC74" s="139"/>
      <c r="CD74" s="135"/>
      <c r="CE74" s="139"/>
    </row>
    <row r="75" spans="1:83" s="142" customFormat="1" ht="15" customHeight="1" x14ac:dyDescent="0.2">
      <c r="A75" s="649" t="s">
        <v>353</v>
      </c>
      <c r="B75" s="649"/>
      <c r="C75" s="276"/>
      <c r="D75" s="314" t="s">
        <v>40</v>
      </c>
      <c r="E75" s="276"/>
      <c r="F75" s="276"/>
      <c r="G75" s="276"/>
      <c r="H75" s="276"/>
      <c r="I75" s="277"/>
      <c r="J75" s="277"/>
      <c r="K75" s="278"/>
      <c r="L75" s="278"/>
      <c r="M75" s="278"/>
      <c r="N75" s="278"/>
      <c r="O75" s="278"/>
      <c r="P75" s="278"/>
      <c r="Q75" s="278"/>
      <c r="R75" s="278"/>
      <c r="S75" s="277"/>
      <c r="T75" s="277"/>
      <c r="U75" s="277"/>
      <c r="V75" s="277"/>
      <c r="W75" s="277"/>
      <c r="X75" s="278"/>
      <c r="Y75" s="277"/>
      <c r="Z75" s="277"/>
      <c r="AA75" s="277"/>
      <c r="AB75" s="277"/>
      <c r="AC75" s="277"/>
      <c r="AD75" s="278"/>
      <c r="AE75" s="277"/>
      <c r="AF75" s="277"/>
      <c r="AG75" s="277"/>
      <c r="AH75" s="277"/>
      <c r="AI75" s="277"/>
      <c r="AJ75" s="278"/>
      <c r="AK75" s="277"/>
      <c r="AL75" s="277"/>
      <c r="AM75" s="277"/>
      <c r="AN75" s="277"/>
      <c r="AO75" s="277"/>
      <c r="AP75" s="278"/>
      <c r="AQ75" s="277"/>
      <c r="AR75" s="277"/>
      <c r="AS75" s="277"/>
      <c r="AT75" s="277"/>
      <c r="AU75" s="277"/>
      <c r="AV75" s="278"/>
      <c r="AW75" s="277"/>
      <c r="AX75" s="277"/>
      <c r="AY75" s="277"/>
      <c r="AZ75" s="277"/>
      <c r="BA75" s="277"/>
      <c r="BB75" s="278"/>
      <c r="BC75" s="277"/>
      <c r="BD75" s="277"/>
      <c r="BE75" s="277"/>
      <c r="BF75" s="277"/>
      <c r="BG75" s="277"/>
      <c r="BH75" s="278"/>
      <c r="BI75" s="277"/>
      <c r="BJ75" s="277"/>
      <c r="BK75" s="277"/>
      <c r="BL75" s="277"/>
      <c r="BM75" s="277"/>
      <c r="BN75" s="278"/>
      <c r="BO75" s="277"/>
      <c r="BP75" s="277"/>
      <c r="BQ75" s="277"/>
      <c r="BR75" s="277"/>
      <c r="BS75" s="277"/>
      <c r="BT75" s="277"/>
      <c r="BU75" s="277"/>
      <c r="BV75" s="278"/>
      <c r="BW75" s="277"/>
      <c r="BX75" s="277"/>
      <c r="BY75" s="277"/>
      <c r="BZ75" s="277"/>
      <c r="CA75" s="277"/>
      <c r="CB75" s="277"/>
      <c r="CC75" s="277"/>
      <c r="CD75" s="511"/>
      <c r="CE75" s="277"/>
    </row>
    <row r="76" spans="1:83" s="150" customFormat="1" ht="26.1" customHeight="1" x14ac:dyDescent="0.2">
      <c r="A76" s="497"/>
      <c r="B76" s="495" t="s">
        <v>345</v>
      </c>
      <c r="C76" s="358"/>
      <c r="D76" s="496" t="s">
        <v>26</v>
      </c>
      <c r="E76" s="271"/>
      <c r="F76" s="271"/>
      <c r="G76" s="271"/>
      <c r="H76" s="271"/>
      <c r="I76" s="493">
        <v>1242</v>
      </c>
      <c r="J76" s="493">
        <v>828</v>
      </c>
      <c r="K76" s="493">
        <f t="shared" ref="K76:AL76" si="117">SUM(K77:K82)</f>
        <v>518</v>
      </c>
      <c r="L76" s="493">
        <f t="shared" si="117"/>
        <v>345</v>
      </c>
      <c r="M76" s="493">
        <f t="shared" si="117"/>
        <v>255</v>
      </c>
      <c r="N76" s="493">
        <f t="shared" si="117"/>
        <v>90</v>
      </c>
      <c r="O76" s="493">
        <f t="shared" si="117"/>
        <v>0</v>
      </c>
      <c r="P76" s="493">
        <f t="shared" si="117"/>
        <v>0</v>
      </c>
      <c r="Q76" s="493">
        <f t="shared" si="117"/>
        <v>173</v>
      </c>
      <c r="R76" s="493">
        <f t="shared" si="117"/>
        <v>0</v>
      </c>
      <c r="S76" s="493">
        <f t="shared" si="117"/>
        <v>0</v>
      </c>
      <c r="T76" s="493">
        <f t="shared" si="117"/>
        <v>0</v>
      </c>
      <c r="U76" s="493">
        <f t="shared" si="117"/>
        <v>0</v>
      </c>
      <c r="V76" s="493">
        <f t="shared" si="117"/>
        <v>0</v>
      </c>
      <c r="W76" s="493">
        <f t="shared" si="117"/>
        <v>0</v>
      </c>
      <c r="X76" s="493">
        <f t="shared" si="117"/>
        <v>0</v>
      </c>
      <c r="Y76" s="493">
        <f t="shared" si="117"/>
        <v>0</v>
      </c>
      <c r="Z76" s="493">
        <f t="shared" si="117"/>
        <v>0</v>
      </c>
      <c r="AA76" s="493">
        <f t="shared" si="117"/>
        <v>0</v>
      </c>
      <c r="AB76" s="493">
        <f t="shared" si="117"/>
        <v>0</v>
      </c>
      <c r="AC76" s="493">
        <f t="shared" si="117"/>
        <v>0</v>
      </c>
      <c r="AD76" s="493">
        <f t="shared" si="117"/>
        <v>108</v>
      </c>
      <c r="AE76" s="493">
        <f t="shared" si="117"/>
        <v>48</v>
      </c>
      <c r="AF76" s="493">
        <f t="shared" si="117"/>
        <v>20</v>
      </c>
      <c r="AG76" s="493">
        <f t="shared" si="117"/>
        <v>0</v>
      </c>
      <c r="AH76" s="493">
        <f t="shared" si="117"/>
        <v>0</v>
      </c>
      <c r="AI76" s="493">
        <f t="shared" si="117"/>
        <v>40</v>
      </c>
      <c r="AJ76" s="493">
        <f t="shared" si="117"/>
        <v>86</v>
      </c>
      <c r="AK76" s="493">
        <f t="shared" si="117"/>
        <v>44</v>
      </c>
      <c r="AL76" s="493">
        <f t="shared" si="117"/>
        <v>16</v>
      </c>
      <c r="AM76" s="493">
        <f t="shared" ref="AM76:BB76" si="118">SUM(AM77:AM82)</f>
        <v>0</v>
      </c>
      <c r="AN76" s="493">
        <f t="shared" si="118"/>
        <v>0</v>
      </c>
      <c r="AO76" s="493">
        <f t="shared" si="118"/>
        <v>26</v>
      </c>
      <c r="AP76" s="493">
        <f t="shared" si="118"/>
        <v>107</v>
      </c>
      <c r="AQ76" s="493">
        <f t="shared" si="118"/>
        <v>68</v>
      </c>
      <c r="AR76" s="493">
        <f t="shared" si="118"/>
        <v>0</v>
      </c>
      <c r="AS76" s="493">
        <f t="shared" si="118"/>
        <v>0</v>
      </c>
      <c r="AT76" s="493">
        <f t="shared" si="118"/>
        <v>0</v>
      </c>
      <c r="AU76" s="493">
        <f t="shared" si="118"/>
        <v>39</v>
      </c>
      <c r="AV76" s="493">
        <f t="shared" si="118"/>
        <v>51</v>
      </c>
      <c r="AW76" s="493">
        <f t="shared" si="118"/>
        <v>19</v>
      </c>
      <c r="AX76" s="493">
        <f t="shared" si="118"/>
        <v>16</v>
      </c>
      <c r="AY76" s="493">
        <f t="shared" si="118"/>
        <v>0</v>
      </c>
      <c r="AZ76" s="493">
        <f t="shared" si="118"/>
        <v>0</v>
      </c>
      <c r="BA76" s="493">
        <f t="shared" si="118"/>
        <v>16</v>
      </c>
      <c r="BB76" s="493">
        <f t="shared" si="118"/>
        <v>0</v>
      </c>
      <c r="BC76" s="493">
        <f t="shared" ref="BC76:BM76" si="119">SUM(BC77:BC83)</f>
        <v>0</v>
      </c>
      <c r="BD76" s="493">
        <f t="shared" si="119"/>
        <v>0</v>
      </c>
      <c r="BE76" s="493">
        <f t="shared" si="119"/>
        <v>0</v>
      </c>
      <c r="BF76" s="493">
        <f t="shared" si="119"/>
        <v>0</v>
      </c>
      <c r="BG76" s="493">
        <f t="shared" si="119"/>
        <v>0</v>
      </c>
      <c r="BH76" s="493">
        <f t="shared" si="119"/>
        <v>166</v>
      </c>
      <c r="BI76" s="493">
        <f t="shared" si="119"/>
        <v>76</v>
      </c>
      <c r="BJ76" s="493">
        <f t="shared" si="119"/>
        <v>38</v>
      </c>
      <c r="BK76" s="493">
        <f t="shared" si="119"/>
        <v>0</v>
      </c>
      <c r="BL76" s="493">
        <f t="shared" si="119"/>
        <v>0</v>
      </c>
      <c r="BM76" s="493">
        <f t="shared" si="119"/>
        <v>52</v>
      </c>
      <c r="BN76" s="493">
        <f t="shared" ref="BN76:CC76" si="120">SUM(BN77:BN82)</f>
        <v>0</v>
      </c>
      <c r="BO76" s="493">
        <f t="shared" si="120"/>
        <v>0</v>
      </c>
      <c r="BP76" s="493">
        <f t="shared" si="120"/>
        <v>0</v>
      </c>
      <c r="BQ76" s="493">
        <f t="shared" si="120"/>
        <v>0</v>
      </c>
      <c r="BR76" s="493">
        <f t="shared" si="120"/>
        <v>0</v>
      </c>
      <c r="BS76" s="493">
        <f t="shared" si="120"/>
        <v>0</v>
      </c>
      <c r="BT76" s="493">
        <f t="shared" si="120"/>
        <v>0</v>
      </c>
      <c r="BU76" s="493">
        <f t="shared" si="120"/>
        <v>0</v>
      </c>
      <c r="BV76" s="493">
        <f t="shared" si="120"/>
        <v>0</v>
      </c>
      <c r="BW76" s="493">
        <f t="shared" si="120"/>
        <v>0</v>
      </c>
      <c r="BX76" s="493">
        <f t="shared" si="120"/>
        <v>0</v>
      </c>
      <c r="BY76" s="493">
        <f t="shared" si="120"/>
        <v>0</v>
      </c>
      <c r="BZ76" s="493">
        <f t="shared" si="120"/>
        <v>0</v>
      </c>
      <c r="CA76" s="493">
        <f t="shared" si="120"/>
        <v>0</v>
      </c>
      <c r="CB76" s="493">
        <f t="shared" si="120"/>
        <v>0</v>
      </c>
      <c r="CC76" s="493">
        <f t="shared" si="120"/>
        <v>0</v>
      </c>
      <c r="CD76" s="271"/>
      <c r="CE76" s="271"/>
    </row>
    <row r="77" spans="1:83" s="142" customFormat="1" ht="26.1" customHeight="1" x14ac:dyDescent="0.2">
      <c r="A77" s="135" t="s">
        <v>198</v>
      </c>
      <c r="B77" s="144" t="s">
        <v>287</v>
      </c>
      <c r="C77" s="134"/>
      <c r="D77" s="135"/>
      <c r="E77" s="135" t="s">
        <v>37</v>
      </c>
      <c r="F77" s="135"/>
      <c r="G77" s="135"/>
      <c r="H77" s="135"/>
      <c r="I77" s="157"/>
      <c r="J77" s="139"/>
      <c r="K77" s="138">
        <f t="shared" ref="K77:K82" si="121">L77+SUM(Q77:Q77)</f>
        <v>56</v>
      </c>
      <c r="L77" s="138">
        <f t="shared" ref="L77:L82" si="122">SUM(M77:P77)</f>
        <v>38</v>
      </c>
      <c r="M77" s="138">
        <f t="shared" ref="M77:P82" si="123">S77+Y77+AE77+AK77+AQ77+AW77+BC77+BI77+BP77+BX77</f>
        <v>0</v>
      </c>
      <c r="N77" s="138">
        <f t="shared" si="123"/>
        <v>38</v>
      </c>
      <c r="O77" s="138">
        <f t="shared" si="123"/>
        <v>0</v>
      </c>
      <c r="P77" s="138">
        <f t="shared" si="123"/>
        <v>0</v>
      </c>
      <c r="Q77" s="138">
        <f t="shared" ref="Q77:Q82" si="124">W77+AC77+AI77+AO77+AU77+BA77+BG77+BM77+BU77+CC77</f>
        <v>18</v>
      </c>
      <c r="R77" s="237">
        <f t="shared" ref="R77:R82" si="125">SUM(S77:W77)</f>
        <v>0</v>
      </c>
      <c r="S77" s="139"/>
      <c r="T77" s="139"/>
      <c r="U77" s="139"/>
      <c r="V77" s="139"/>
      <c r="W77" s="139"/>
      <c r="X77" s="237">
        <f t="shared" ref="X77:X82" si="126">SUM(Y77:AC77)</f>
        <v>0</v>
      </c>
      <c r="Y77" s="139"/>
      <c r="Z77" s="139"/>
      <c r="AA77" s="139"/>
      <c r="AB77" s="139"/>
      <c r="AC77" s="139"/>
      <c r="AD77" s="237">
        <f t="shared" ref="AD77:AD82" si="127">SUM(AE77:AI77)</f>
        <v>0</v>
      </c>
      <c r="AE77" s="139"/>
      <c r="AF77" s="139"/>
      <c r="AG77" s="139"/>
      <c r="AH77" s="139"/>
      <c r="AI77" s="139"/>
      <c r="AJ77" s="237">
        <f t="shared" ref="AJ77:AJ82" si="128">SUM(AK77:AO77)</f>
        <v>0</v>
      </c>
      <c r="AK77" s="139"/>
      <c r="AL77" s="139"/>
      <c r="AM77" s="139"/>
      <c r="AN77" s="139"/>
      <c r="AO77" s="139"/>
      <c r="AP77" s="237">
        <f t="shared" ref="AP77:AP82" si="129">SUM(AQ77:AU77)</f>
        <v>0</v>
      </c>
      <c r="AQ77" s="139"/>
      <c r="AR77" s="139"/>
      <c r="AS77" s="139"/>
      <c r="AT77" s="139"/>
      <c r="AU77" s="139"/>
      <c r="AV77" s="237">
        <f t="shared" ref="AV77:AV82" si="130">SUM(AW77:BA77)</f>
        <v>0</v>
      </c>
      <c r="AW77" s="139"/>
      <c r="AX77" s="139"/>
      <c r="AY77" s="139"/>
      <c r="AZ77" s="139"/>
      <c r="BA77" s="139"/>
      <c r="BB77" s="237">
        <f t="shared" ref="BB77:BB82" si="131">SUM(BC77:BG77)</f>
        <v>0</v>
      </c>
      <c r="BC77" s="139"/>
      <c r="BD77" s="139"/>
      <c r="BE77" s="139"/>
      <c r="BF77" s="139"/>
      <c r="BG77" s="139"/>
      <c r="BH77" s="237">
        <f t="shared" ref="BH77:BH82" si="132">SUM(BI77:BM77)</f>
        <v>56</v>
      </c>
      <c r="BI77" s="157"/>
      <c r="BJ77" s="157">
        <v>38</v>
      </c>
      <c r="BK77" s="139"/>
      <c r="BL77" s="139"/>
      <c r="BM77" s="139">
        <v>18</v>
      </c>
      <c r="BN77" s="237">
        <f t="shared" ref="BN77:BN80" si="133">SUM(BO77:BU77)</f>
        <v>0</v>
      </c>
      <c r="BO77" s="139"/>
      <c r="BP77" s="139"/>
      <c r="BQ77" s="139"/>
      <c r="BR77" s="139"/>
      <c r="BS77" s="139"/>
      <c r="BT77" s="139"/>
      <c r="BU77" s="139"/>
      <c r="BV77" s="237">
        <f t="shared" ref="BV77:BV80" si="134">SUM(BW77:CC77)</f>
        <v>0</v>
      </c>
      <c r="BW77" s="139"/>
      <c r="BX77" s="139"/>
      <c r="BY77" s="139"/>
      <c r="BZ77" s="139"/>
      <c r="CA77" s="139"/>
      <c r="CB77" s="139"/>
      <c r="CC77" s="139"/>
      <c r="CD77" s="135" t="s">
        <v>475</v>
      </c>
      <c r="CE77" s="585" t="s">
        <v>583</v>
      </c>
    </row>
    <row r="78" spans="1:83" s="142" customFormat="1" ht="26.1" customHeight="1" x14ac:dyDescent="0.2">
      <c r="A78" s="135" t="s">
        <v>199</v>
      </c>
      <c r="B78" s="134" t="s">
        <v>306</v>
      </c>
      <c r="C78" s="134"/>
      <c r="D78" s="135" t="s">
        <v>29</v>
      </c>
      <c r="E78" s="135"/>
      <c r="F78" s="135"/>
      <c r="G78" s="135"/>
      <c r="H78" s="135"/>
      <c r="I78" s="139"/>
      <c r="J78" s="139"/>
      <c r="K78" s="138">
        <f t="shared" si="121"/>
        <v>108</v>
      </c>
      <c r="L78" s="138">
        <f t="shared" si="122"/>
        <v>68</v>
      </c>
      <c r="M78" s="138">
        <f t="shared" si="123"/>
        <v>48</v>
      </c>
      <c r="N78" s="138">
        <f t="shared" si="123"/>
        <v>20</v>
      </c>
      <c r="O78" s="138">
        <f t="shared" si="123"/>
        <v>0</v>
      </c>
      <c r="P78" s="138">
        <f t="shared" si="123"/>
        <v>0</v>
      </c>
      <c r="Q78" s="138">
        <f t="shared" si="124"/>
        <v>40</v>
      </c>
      <c r="R78" s="237">
        <f t="shared" si="125"/>
        <v>0</v>
      </c>
      <c r="S78" s="139"/>
      <c r="T78" s="139"/>
      <c r="U78" s="139"/>
      <c r="V78" s="139"/>
      <c r="W78" s="139"/>
      <c r="X78" s="237">
        <f t="shared" si="126"/>
        <v>0</v>
      </c>
      <c r="Y78" s="139"/>
      <c r="Z78" s="139"/>
      <c r="AA78" s="139"/>
      <c r="AB78" s="139"/>
      <c r="AC78" s="139"/>
      <c r="AD78" s="237">
        <f t="shared" si="127"/>
        <v>108</v>
      </c>
      <c r="AE78" s="431">
        <v>48</v>
      </c>
      <c r="AF78" s="157">
        <v>20</v>
      </c>
      <c r="AG78" s="157"/>
      <c r="AH78" s="157"/>
      <c r="AI78" s="157">
        <v>40</v>
      </c>
      <c r="AJ78" s="237">
        <f t="shared" si="128"/>
        <v>0</v>
      </c>
      <c r="AK78" s="139"/>
      <c r="AL78" s="139"/>
      <c r="AM78" s="139"/>
      <c r="AN78" s="139"/>
      <c r="AO78" s="139"/>
      <c r="AP78" s="237">
        <f t="shared" si="129"/>
        <v>0</v>
      </c>
      <c r="AQ78" s="139"/>
      <c r="AR78" s="139"/>
      <c r="AS78" s="139"/>
      <c r="AT78" s="139"/>
      <c r="AU78" s="139"/>
      <c r="AV78" s="237">
        <f t="shared" si="130"/>
        <v>0</v>
      </c>
      <c r="AW78" s="139"/>
      <c r="AX78" s="139"/>
      <c r="AY78" s="139"/>
      <c r="AZ78" s="139"/>
      <c r="BA78" s="139"/>
      <c r="BB78" s="237">
        <f t="shared" si="131"/>
        <v>0</v>
      </c>
      <c r="BC78" s="139"/>
      <c r="BD78" s="139"/>
      <c r="BE78" s="139"/>
      <c r="BF78" s="139"/>
      <c r="BG78" s="139"/>
      <c r="BH78" s="237">
        <f t="shared" si="132"/>
        <v>0</v>
      </c>
      <c r="BI78" s="157"/>
      <c r="BJ78" s="157"/>
      <c r="BK78" s="139"/>
      <c r="BL78" s="139"/>
      <c r="BM78" s="139"/>
      <c r="BN78" s="237">
        <f t="shared" si="133"/>
        <v>0</v>
      </c>
      <c r="BO78" s="139"/>
      <c r="BP78" s="139"/>
      <c r="BQ78" s="139"/>
      <c r="BR78" s="139"/>
      <c r="BS78" s="139"/>
      <c r="BT78" s="139"/>
      <c r="BU78" s="139"/>
      <c r="BV78" s="237">
        <f t="shared" si="134"/>
        <v>0</v>
      </c>
      <c r="BW78" s="139"/>
      <c r="BX78" s="139"/>
      <c r="BY78" s="139"/>
      <c r="BZ78" s="139"/>
      <c r="CA78" s="139"/>
      <c r="CB78" s="139"/>
      <c r="CC78" s="139"/>
      <c r="CD78" s="135" t="s">
        <v>479</v>
      </c>
      <c r="CE78" s="139" t="s">
        <v>446</v>
      </c>
    </row>
    <row r="79" spans="1:83" s="142" customFormat="1" ht="26.1" customHeight="1" x14ac:dyDescent="0.2">
      <c r="A79" s="135" t="s">
        <v>200</v>
      </c>
      <c r="B79" s="359" t="s">
        <v>402</v>
      </c>
      <c r="C79" s="134"/>
      <c r="D79" s="135"/>
      <c r="E79" s="135" t="s">
        <v>37</v>
      </c>
      <c r="F79" s="135"/>
      <c r="G79" s="135"/>
      <c r="H79" s="135"/>
      <c r="I79" s="139"/>
      <c r="J79" s="139"/>
      <c r="K79" s="138">
        <f t="shared" si="121"/>
        <v>55</v>
      </c>
      <c r="L79" s="138">
        <f t="shared" si="122"/>
        <v>38</v>
      </c>
      <c r="M79" s="138">
        <f t="shared" si="123"/>
        <v>38</v>
      </c>
      <c r="N79" s="138">
        <f t="shared" si="123"/>
        <v>0</v>
      </c>
      <c r="O79" s="138">
        <f t="shared" si="123"/>
        <v>0</v>
      </c>
      <c r="P79" s="138">
        <f t="shared" si="123"/>
        <v>0</v>
      </c>
      <c r="Q79" s="138">
        <f t="shared" si="124"/>
        <v>17</v>
      </c>
      <c r="R79" s="237">
        <f t="shared" si="125"/>
        <v>0</v>
      </c>
      <c r="S79" s="139"/>
      <c r="T79" s="139"/>
      <c r="U79" s="139"/>
      <c r="V79" s="139"/>
      <c r="W79" s="139"/>
      <c r="X79" s="237">
        <f t="shared" si="126"/>
        <v>0</v>
      </c>
      <c r="Y79" s="139"/>
      <c r="Z79" s="139"/>
      <c r="AA79" s="139"/>
      <c r="AB79" s="139"/>
      <c r="AC79" s="139"/>
      <c r="AD79" s="237">
        <f t="shared" si="127"/>
        <v>0</v>
      </c>
      <c r="AE79" s="139"/>
      <c r="AF79" s="139"/>
      <c r="AG79" s="139"/>
      <c r="AH79" s="139"/>
      <c r="AI79" s="139"/>
      <c r="AJ79" s="237">
        <f t="shared" si="128"/>
        <v>0</v>
      </c>
      <c r="AK79" s="139"/>
      <c r="AL79" s="139"/>
      <c r="AM79" s="139"/>
      <c r="AN79" s="139"/>
      <c r="AO79" s="139"/>
      <c r="AP79" s="237">
        <f t="shared" si="129"/>
        <v>0</v>
      </c>
      <c r="AQ79" s="139"/>
      <c r="AR79" s="139"/>
      <c r="AS79" s="139"/>
      <c r="AT79" s="139"/>
      <c r="AU79" s="139"/>
      <c r="AV79" s="237">
        <f t="shared" si="130"/>
        <v>0</v>
      </c>
      <c r="AW79" s="139"/>
      <c r="AX79" s="139"/>
      <c r="AY79" s="139"/>
      <c r="AZ79" s="139"/>
      <c r="BA79" s="139"/>
      <c r="BB79" s="237">
        <f t="shared" si="131"/>
        <v>0</v>
      </c>
      <c r="BC79" s="139"/>
      <c r="BD79" s="139"/>
      <c r="BE79" s="139"/>
      <c r="BF79" s="139"/>
      <c r="BG79" s="139"/>
      <c r="BH79" s="237">
        <f t="shared" si="132"/>
        <v>55</v>
      </c>
      <c r="BI79" s="157">
        <v>38</v>
      </c>
      <c r="BJ79" s="157"/>
      <c r="BK79" s="139"/>
      <c r="BL79" s="139"/>
      <c r="BM79" s="139">
        <v>17</v>
      </c>
      <c r="BN79" s="237">
        <f t="shared" si="133"/>
        <v>0</v>
      </c>
      <c r="BO79" s="139"/>
      <c r="BP79" s="139"/>
      <c r="BQ79" s="139"/>
      <c r="BR79" s="139"/>
      <c r="BS79" s="139"/>
      <c r="BT79" s="139"/>
      <c r="BU79" s="139"/>
      <c r="BV79" s="237">
        <f t="shared" si="134"/>
        <v>0</v>
      </c>
      <c r="BW79" s="139"/>
      <c r="BX79" s="139"/>
      <c r="BY79" s="139"/>
      <c r="BZ79" s="139"/>
      <c r="CA79" s="139"/>
      <c r="CB79" s="139"/>
      <c r="CC79" s="139"/>
      <c r="CD79" s="145" t="s">
        <v>479</v>
      </c>
      <c r="CE79" s="585" t="s">
        <v>589</v>
      </c>
    </row>
    <row r="80" spans="1:83" s="142" customFormat="1" ht="26.1" customHeight="1" x14ac:dyDescent="0.2">
      <c r="A80" s="135" t="s">
        <v>284</v>
      </c>
      <c r="B80" s="360" t="s">
        <v>559</v>
      </c>
      <c r="C80" s="134"/>
      <c r="D80" s="135"/>
      <c r="E80" s="145" t="s">
        <v>41</v>
      </c>
      <c r="F80" s="135"/>
      <c r="G80" s="135"/>
      <c r="H80" s="145" t="s">
        <v>473</v>
      </c>
      <c r="I80" s="139"/>
      <c r="J80" s="139"/>
      <c r="K80" s="138">
        <f t="shared" si="121"/>
        <v>142</v>
      </c>
      <c r="L80" s="138">
        <f t="shared" si="122"/>
        <v>96</v>
      </c>
      <c r="M80" s="138">
        <f t="shared" si="123"/>
        <v>64</v>
      </c>
      <c r="N80" s="138">
        <f t="shared" si="123"/>
        <v>32</v>
      </c>
      <c r="O80" s="138">
        <f t="shared" si="123"/>
        <v>0</v>
      </c>
      <c r="P80" s="138">
        <f t="shared" si="123"/>
        <v>0</v>
      </c>
      <c r="Q80" s="138">
        <f t="shared" si="124"/>
        <v>46</v>
      </c>
      <c r="R80" s="237">
        <f t="shared" si="125"/>
        <v>0</v>
      </c>
      <c r="S80" s="139"/>
      <c r="T80" s="139"/>
      <c r="U80" s="139"/>
      <c r="V80" s="139"/>
      <c r="W80" s="139"/>
      <c r="X80" s="237">
        <f t="shared" si="126"/>
        <v>0</v>
      </c>
      <c r="Y80" s="139"/>
      <c r="Z80" s="139"/>
      <c r="AA80" s="139"/>
      <c r="AB80" s="139"/>
      <c r="AC80" s="139"/>
      <c r="AD80" s="237">
        <f t="shared" si="127"/>
        <v>0</v>
      </c>
      <c r="AE80" s="139"/>
      <c r="AF80" s="139"/>
      <c r="AG80" s="139"/>
      <c r="AH80" s="139"/>
      <c r="AI80" s="139"/>
      <c r="AJ80" s="237">
        <f t="shared" si="128"/>
        <v>53</v>
      </c>
      <c r="AK80" s="431">
        <v>21</v>
      </c>
      <c r="AL80" s="139">
        <v>16</v>
      </c>
      <c r="AM80" s="139"/>
      <c r="AN80" s="139"/>
      <c r="AO80" s="139">
        <v>16</v>
      </c>
      <c r="AP80" s="237">
        <f t="shared" si="129"/>
        <v>38</v>
      </c>
      <c r="AQ80" s="157">
        <v>24</v>
      </c>
      <c r="AR80" s="139"/>
      <c r="AS80" s="139"/>
      <c r="AT80" s="139"/>
      <c r="AU80" s="139">
        <v>14</v>
      </c>
      <c r="AV80" s="237">
        <f t="shared" si="130"/>
        <v>51</v>
      </c>
      <c r="AW80" s="157">
        <v>19</v>
      </c>
      <c r="AX80" s="139">
        <v>16</v>
      </c>
      <c r="AY80" s="139"/>
      <c r="AZ80" s="139"/>
      <c r="BA80" s="139">
        <v>16</v>
      </c>
      <c r="BB80" s="237">
        <f t="shared" si="131"/>
        <v>0</v>
      </c>
      <c r="BC80" s="139"/>
      <c r="BD80" s="139"/>
      <c r="BE80" s="139"/>
      <c r="BF80" s="139"/>
      <c r="BG80" s="139"/>
      <c r="BH80" s="237">
        <f t="shared" si="132"/>
        <v>0</v>
      </c>
      <c r="BI80" s="139"/>
      <c r="BJ80" s="139"/>
      <c r="BK80" s="139"/>
      <c r="BL80" s="139"/>
      <c r="BM80" s="139"/>
      <c r="BN80" s="237">
        <f t="shared" si="133"/>
        <v>0</v>
      </c>
      <c r="BO80" s="139"/>
      <c r="BP80" s="139"/>
      <c r="BQ80" s="139"/>
      <c r="BR80" s="139"/>
      <c r="BS80" s="139"/>
      <c r="BT80" s="139"/>
      <c r="BU80" s="139"/>
      <c r="BV80" s="237">
        <f t="shared" si="134"/>
        <v>0</v>
      </c>
      <c r="BW80" s="139"/>
      <c r="BX80" s="139"/>
      <c r="BY80" s="139"/>
      <c r="BZ80" s="139"/>
      <c r="CA80" s="139"/>
      <c r="CB80" s="139"/>
      <c r="CC80" s="139"/>
      <c r="CD80" s="145" t="s">
        <v>479</v>
      </c>
      <c r="CE80" s="585" t="s">
        <v>589</v>
      </c>
    </row>
    <row r="81" spans="1:83" s="142" customFormat="1" ht="26.1" customHeight="1" x14ac:dyDescent="0.2">
      <c r="A81" s="135" t="s">
        <v>285</v>
      </c>
      <c r="B81" s="134" t="s">
        <v>500</v>
      </c>
      <c r="C81" s="134"/>
      <c r="D81" s="135"/>
      <c r="E81" s="135" t="s">
        <v>40</v>
      </c>
      <c r="F81" s="135"/>
      <c r="G81" s="135"/>
      <c r="H81" s="135" t="s">
        <v>39</v>
      </c>
      <c r="I81" s="139"/>
      <c r="J81" s="139"/>
      <c r="K81" s="138">
        <f t="shared" si="121"/>
        <v>102</v>
      </c>
      <c r="L81" s="138">
        <f t="shared" si="122"/>
        <v>67</v>
      </c>
      <c r="M81" s="138">
        <f t="shared" si="123"/>
        <v>67</v>
      </c>
      <c r="N81" s="138">
        <f t="shared" si="123"/>
        <v>0</v>
      </c>
      <c r="O81" s="138">
        <f t="shared" si="123"/>
        <v>0</v>
      </c>
      <c r="P81" s="138">
        <f t="shared" si="123"/>
        <v>0</v>
      </c>
      <c r="Q81" s="138">
        <f t="shared" si="124"/>
        <v>35</v>
      </c>
      <c r="R81" s="237">
        <f t="shared" si="125"/>
        <v>0</v>
      </c>
      <c r="S81" s="139"/>
      <c r="T81" s="139"/>
      <c r="U81" s="139"/>
      <c r="V81" s="139"/>
      <c r="W81" s="139"/>
      <c r="X81" s="237">
        <f t="shared" si="126"/>
        <v>0</v>
      </c>
      <c r="Y81" s="139"/>
      <c r="Z81" s="139"/>
      <c r="AA81" s="139"/>
      <c r="AB81" s="139"/>
      <c r="AC81" s="139"/>
      <c r="AD81" s="237">
        <f t="shared" si="127"/>
        <v>0</v>
      </c>
      <c r="AE81" s="139"/>
      <c r="AF81" s="139"/>
      <c r="AG81" s="139"/>
      <c r="AH81" s="139"/>
      <c r="AI81" s="139"/>
      <c r="AJ81" s="237">
        <f t="shared" si="128"/>
        <v>33</v>
      </c>
      <c r="AK81" s="431">
        <v>23</v>
      </c>
      <c r="AL81" s="139"/>
      <c r="AM81" s="139"/>
      <c r="AN81" s="139"/>
      <c r="AO81" s="139">
        <v>10</v>
      </c>
      <c r="AP81" s="237">
        <f t="shared" si="129"/>
        <v>69</v>
      </c>
      <c r="AQ81" s="157">
        <v>44</v>
      </c>
      <c r="AR81" s="139"/>
      <c r="AS81" s="139"/>
      <c r="AT81" s="139"/>
      <c r="AU81" s="139">
        <v>25</v>
      </c>
      <c r="AV81" s="237">
        <f t="shared" si="130"/>
        <v>0</v>
      </c>
      <c r="AW81" s="139"/>
      <c r="AX81" s="139"/>
      <c r="AY81" s="139"/>
      <c r="AZ81" s="139"/>
      <c r="BA81" s="139"/>
      <c r="BB81" s="237">
        <f t="shared" si="131"/>
        <v>0</v>
      </c>
      <c r="BC81" s="139"/>
      <c r="BD81" s="139"/>
      <c r="BE81" s="139"/>
      <c r="BF81" s="139"/>
      <c r="BG81" s="139"/>
      <c r="BH81" s="237">
        <f t="shared" si="132"/>
        <v>0</v>
      </c>
      <c r="BI81" s="139"/>
      <c r="BJ81" s="139"/>
      <c r="BK81" s="139"/>
      <c r="BL81" s="139"/>
      <c r="BM81" s="139"/>
      <c r="BN81" s="237"/>
      <c r="BO81" s="139"/>
      <c r="BP81" s="139"/>
      <c r="BQ81" s="139"/>
      <c r="BR81" s="139"/>
      <c r="BS81" s="139"/>
      <c r="BT81" s="139"/>
      <c r="BU81" s="139"/>
      <c r="BV81" s="237"/>
      <c r="BW81" s="139"/>
      <c r="BX81" s="139"/>
      <c r="BY81" s="139"/>
      <c r="BZ81" s="139"/>
      <c r="CA81" s="139"/>
      <c r="CB81" s="139"/>
      <c r="CC81" s="139"/>
      <c r="CD81" s="145" t="s">
        <v>480</v>
      </c>
      <c r="CE81" s="499" t="s">
        <v>454</v>
      </c>
    </row>
    <row r="82" spans="1:83" s="142" customFormat="1" ht="26.1" customHeight="1" x14ac:dyDescent="0.2">
      <c r="A82" s="135" t="s">
        <v>505</v>
      </c>
      <c r="B82" s="134" t="s">
        <v>401</v>
      </c>
      <c r="C82" s="134"/>
      <c r="D82" s="135"/>
      <c r="E82" s="135" t="s">
        <v>37</v>
      </c>
      <c r="F82" s="135"/>
      <c r="G82" s="135"/>
      <c r="H82" s="135"/>
      <c r="I82" s="139"/>
      <c r="J82" s="139"/>
      <c r="K82" s="138">
        <f t="shared" si="121"/>
        <v>55</v>
      </c>
      <c r="L82" s="138">
        <f t="shared" si="122"/>
        <v>38</v>
      </c>
      <c r="M82" s="138">
        <f t="shared" si="123"/>
        <v>38</v>
      </c>
      <c r="N82" s="138">
        <f t="shared" si="123"/>
        <v>0</v>
      </c>
      <c r="O82" s="138">
        <f t="shared" si="123"/>
        <v>0</v>
      </c>
      <c r="P82" s="138">
        <f t="shared" si="123"/>
        <v>0</v>
      </c>
      <c r="Q82" s="138">
        <f t="shared" si="124"/>
        <v>17</v>
      </c>
      <c r="R82" s="237">
        <f t="shared" si="125"/>
        <v>0</v>
      </c>
      <c r="S82" s="139"/>
      <c r="T82" s="139"/>
      <c r="U82" s="139"/>
      <c r="V82" s="139"/>
      <c r="W82" s="139"/>
      <c r="X82" s="237">
        <f t="shared" si="126"/>
        <v>0</v>
      </c>
      <c r="Y82" s="139"/>
      <c r="Z82" s="139"/>
      <c r="AA82" s="139"/>
      <c r="AB82" s="139"/>
      <c r="AC82" s="139"/>
      <c r="AD82" s="237">
        <f t="shared" si="127"/>
        <v>0</v>
      </c>
      <c r="AE82" s="139"/>
      <c r="AF82" s="139"/>
      <c r="AG82" s="139"/>
      <c r="AH82" s="139"/>
      <c r="AI82" s="139"/>
      <c r="AJ82" s="237">
        <f t="shared" si="128"/>
        <v>0</v>
      </c>
      <c r="AK82" s="139"/>
      <c r="AL82" s="139"/>
      <c r="AM82" s="139"/>
      <c r="AN82" s="139"/>
      <c r="AO82" s="139"/>
      <c r="AP82" s="237">
        <f t="shared" si="129"/>
        <v>0</v>
      </c>
      <c r="AQ82" s="139"/>
      <c r="AR82" s="139"/>
      <c r="AS82" s="139"/>
      <c r="AT82" s="139"/>
      <c r="AU82" s="139"/>
      <c r="AV82" s="237">
        <f t="shared" si="130"/>
        <v>0</v>
      </c>
      <c r="AW82" s="139"/>
      <c r="AX82" s="139"/>
      <c r="AY82" s="139"/>
      <c r="AZ82" s="139"/>
      <c r="BA82" s="139"/>
      <c r="BB82" s="237">
        <f t="shared" si="131"/>
        <v>0</v>
      </c>
      <c r="BC82" s="139"/>
      <c r="BD82" s="139"/>
      <c r="BE82" s="139"/>
      <c r="BF82" s="139"/>
      <c r="BG82" s="139"/>
      <c r="BH82" s="237">
        <f t="shared" si="132"/>
        <v>55</v>
      </c>
      <c r="BI82" s="157">
        <v>38</v>
      </c>
      <c r="BJ82" s="157"/>
      <c r="BK82" s="139"/>
      <c r="BL82" s="139"/>
      <c r="BM82" s="139">
        <v>17</v>
      </c>
      <c r="BN82" s="237"/>
      <c r="BO82" s="139"/>
      <c r="BP82" s="139"/>
      <c r="BQ82" s="139"/>
      <c r="BR82" s="139"/>
      <c r="BS82" s="139"/>
      <c r="BT82" s="139"/>
      <c r="BU82" s="139"/>
      <c r="BV82" s="237"/>
      <c r="BW82" s="139"/>
      <c r="BX82" s="139"/>
      <c r="BY82" s="139"/>
      <c r="BZ82" s="139"/>
      <c r="CA82" s="139"/>
      <c r="CB82" s="139"/>
      <c r="CC82" s="139"/>
      <c r="CD82" s="135" t="s">
        <v>479</v>
      </c>
      <c r="CE82" s="585" t="s">
        <v>590</v>
      </c>
    </row>
    <row r="83" spans="1:83" s="150" customFormat="1" ht="26.1" customHeight="1" x14ac:dyDescent="0.2">
      <c r="A83" s="497" t="s">
        <v>191</v>
      </c>
      <c r="B83" s="681" t="s">
        <v>6</v>
      </c>
      <c r="C83" s="681"/>
      <c r="D83" s="271"/>
      <c r="E83" s="271" t="s">
        <v>40</v>
      </c>
      <c r="F83" s="271"/>
      <c r="G83" s="271"/>
      <c r="H83" s="271"/>
      <c r="I83" s="493"/>
      <c r="J83" s="493"/>
      <c r="K83" s="493">
        <f t="shared" ref="K83:Q83" si="135">SUM(K84:K88)</f>
        <v>576</v>
      </c>
      <c r="L83" s="493">
        <f t="shared" si="135"/>
        <v>576</v>
      </c>
      <c r="M83" s="493">
        <f t="shared" si="135"/>
        <v>0</v>
      </c>
      <c r="N83" s="493">
        <f t="shared" si="135"/>
        <v>0</v>
      </c>
      <c r="O83" s="493">
        <f t="shared" si="135"/>
        <v>0</v>
      </c>
      <c r="P83" s="493">
        <f t="shared" si="135"/>
        <v>576</v>
      </c>
      <c r="Q83" s="493">
        <f t="shared" si="135"/>
        <v>0</v>
      </c>
      <c r="R83" s="493">
        <f t="shared" ref="R83:AI83" si="136">SUM(R84:R87)</f>
        <v>0</v>
      </c>
      <c r="S83" s="493">
        <f t="shared" si="136"/>
        <v>0</v>
      </c>
      <c r="T83" s="493">
        <f t="shared" si="136"/>
        <v>0</v>
      </c>
      <c r="U83" s="493">
        <f t="shared" si="136"/>
        <v>0</v>
      </c>
      <c r="V83" s="493">
        <f t="shared" si="136"/>
        <v>0</v>
      </c>
      <c r="W83" s="493">
        <f t="shared" si="136"/>
        <v>0</v>
      </c>
      <c r="X83" s="493">
        <f t="shared" si="136"/>
        <v>0</v>
      </c>
      <c r="Y83" s="493">
        <f t="shared" si="136"/>
        <v>0</v>
      </c>
      <c r="Z83" s="493">
        <f t="shared" si="136"/>
        <v>0</v>
      </c>
      <c r="AA83" s="493">
        <f t="shared" si="136"/>
        <v>0</v>
      </c>
      <c r="AB83" s="493">
        <f t="shared" si="136"/>
        <v>0</v>
      </c>
      <c r="AC83" s="493">
        <f t="shared" si="136"/>
        <v>0</v>
      </c>
      <c r="AD83" s="493">
        <f t="shared" si="136"/>
        <v>0</v>
      </c>
      <c r="AE83" s="493">
        <f t="shared" si="136"/>
        <v>0</v>
      </c>
      <c r="AF83" s="493">
        <f t="shared" si="136"/>
        <v>0</v>
      </c>
      <c r="AG83" s="493">
        <f t="shared" si="136"/>
        <v>0</v>
      </c>
      <c r="AH83" s="493">
        <f t="shared" si="136"/>
        <v>0</v>
      </c>
      <c r="AI83" s="493">
        <f t="shared" si="136"/>
        <v>0</v>
      </c>
      <c r="AJ83" s="493">
        <f t="shared" ref="AJ83:AO83" si="137">SUM(AJ84:AJ88)</f>
        <v>432</v>
      </c>
      <c r="AK83" s="493">
        <f t="shared" si="137"/>
        <v>0</v>
      </c>
      <c r="AL83" s="493">
        <f t="shared" si="137"/>
        <v>0</v>
      </c>
      <c r="AM83" s="493">
        <f t="shared" si="137"/>
        <v>0</v>
      </c>
      <c r="AN83" s="493">
        <f t="shared" si="137"/>
        <v>432</v>
      </c>
      <c r="AO83" s="493">
        <f t="shared" si="137"/>
        <v>0</v>
      </c>
      <c r="AP83" s="493">
        <f t="shared" ref="AP83:CC83" si="138">SUM(AP84:AP87)</f>
        <v>144</v>
      </c>
      <c r="AQ83" s="493">
        <f t="shared" si="138"/>
        <v>0</v>
      </c>
      <c r="AR83" s="493">
        <f t="shared" si="138"/>
        <v>0</v>
      </c>
      <c r="AS83" s="493">
        <f t="shared" si="138"/>
        <v>0</v>
      </c>
      <c r="AT83" s="493">
        <f t="shared" si="138"/>
        <v>144</v>
      </c>
      <c r="AU83" s="493">
        <f t="shared" si="138"/>
        <v>0</v>
      </c>
      <c r="AV83" s="493">
        <f t="shared" si="138"/>
        <v>0</v>
      </c>
      <c r="AW83" s="493">
        <f t="shared" si="138"/>
        <v>0</v>
      </c>
      <c r="AX83" s="493">
        <f t="shared" si="138"/>
        <v>0</v>
      </c>
      <c r="AY83" s="493">
        <f t="shared" si="138"/>
        <v>0</v>
      </c>
      <c r="AZ83" s="493">
        <f t="shared" si="138"/>
        <v>0</v>
      </c>
      <c r="BA83" s="493">
        <f t="shared" si="138"/>
        <v>0</v>
      </c>
      <c r="BB83" s="493">
        <f t="shared" si="138"/>
        <v>0</v>
      </c>
      <c r="BC83" s="493">
        <f t="shared" si="138"/>
        <v>0</v>
      </c>
      <c r="BD83" s="493">
        <f t="shared" si="138"/>
        <v>0</v>
      </c>
      <c r="BE83" s="493">
        <f t="shared" si="138"/>
        <v>0</v>
      </c>
      <c r="BF83" s="493">
        <f t="shared" si="138"/>
        <v>0</v>
      </c>
      <c r="BG83" s="493">
        <f t="shared" si="138"/>
        <v>0</v>
      </c>
      <c r="BH83" s="493">
        <f t="shared" si="138"/>
        <v>0</v>
      </c>
      <c r="BI83" s="493">
        <f t="shared" si="138"/>
        <v>0</v>
      </c>
      <c r="BJ83" s="493">
        <f t="shared" si="138"/>
        <v>0</v>
      </c>
      <c r="BK83" s="493">
        <f t="shared" si="138"/>
        <v>0</v>
      </c>
      <c r="BL83" s="493">
        <f t="shared" si="138"/>
        <v>0</v>
      </c>
      <c r="BM83" s="493">
        <f t="shared" si="138"/>
        <v>0</v>
      </c>
      <c r="BN83" s="493">
        <f t="shared" si="138"/>
        <v>0</v>
      </c>
      <c r="BO83" s="493">
        <f t="shared" si="138"/>
        <v>0</v>
      </c>
      <c r="BP83" s="493">
        <f t="shared" si="138"/>
        <v>0</v>
      </c>
      <c r="BQ83" s="493">
        <f t="shared" si="138"/>
        <v>0</v>
      </c>
      <c r="BR83" s="493">
        <f t="shared" si="138"/>
        <v>0</v>
      </c>
      <c r="BS83" s="493">
        <f t="shared" si="138"/>
        <v>0</v>
      </c>
      <c r="BT83" s="493">
        <f t="shared" si="138"/>
        <v>0</v>
      </c>
      <c r="BU83" s="493">
        <f t="shared" si="138"/>
        <v>0</v>
      </c>
      <c r="BV83" s="493">
        <f t="shared" si="138"/>
        <v>0</v>
      </c>
      <c r="BW83" s="493">
        <f t="shared" si="138"/>
        <v>0</v>
      </c>
      <c r="BX83" s="493">
        <f t="shared" si="138"/>
        <v>0</v>
      </c>
      <c r="BY83" s="493">
        <f t="shared" si="138"/>
        <v>0</v>
      </c>
      <c r="BZ83" s="493">
        <f t="shared" si="138"/>
        <v>0</v>
      </c>
      <c r="CA83" s="493">
        <f t="shared" si="138"/>
        <v>0</v>
      </c>
      <c r="CB83" s="493">
        <f t="shared" si="138"/>
        <v>0</v>
      </c>
      <c r="CC83" s="493">
        <f t="shared" si="138"/>
        <v>0</v>
      </c>
      <c r="CD83" s="271" t="s">
        <v>479</v>
      </c>
      <c r="CE83" s="587" t="s">
        <v>584</v>
      </c>
    </row>
    <row r="84" spans="1:83" s="142" customFormat="1" ht="26.1" hidden="1" customHeight="1" x14ac:dyDescent="0.2">
      <c r="A84" s="135" t="s">
        <v>192</v>
      </c>
      <c r="B84" s="134" t="s">
        <v>339</v>
      </c>
      <c r="C84" s="134"/>
      <c r="D84" s="135"/>
      <c r="E84" s="145" t="s">
        <v>39</v>
      </c>
      <c r="F84" s="135"/>
      <c r="G84" s="135"/>
      <c r="H84" s="135"/>
      <c r="I84" s="139"/>
      <c r="J84" s="139"/>
      <c r="K84" s="138">
        <f t="shared" ref="K84:K90" si="139">L84+SUM(Q84:Q84)</f>
        <v>144</v>
      </c>
      <c r="L84" s="138">
        <f t="shared" ref="L84:L90" si="140">SUM(M84:P84)</f>
        <v>144</v>
      </c>
      <c r="M84" s="138">
        <f t="shared" ref="M84:P88" si="141">S84+Y84+AE84+AK84+AQ84+AW84+BC84+BI84+BP84+BX84</f>
        <v>0</v>
      </c>
      <c r="N84" s="138">
        <f t="shared" si="141"/>
        <v>0</v>
      </c>
      <c r="O84" s="138">
        <f t="shared" si="141"/>
        <v>0</v>
      </c>
      <c r="P84" s="138">
        <f t="shared" si="141"/>
        <v>144</v>
      </c>
      <c r="Q84" s="138">
        <f t="shared" ref="Q84:Q90" si="142">W84+AC84+AI84+AO84+AU84+BA84+BG84+BM84+BU84+CC84</f>
        <v>0</v>
      </c>
      <c r="R84" s="237">
        <f t="shared" ref="R84:R90" si="143">SUM(S84:W84)</f>
        <v>0</v>
      </c>
      <c r="S84" s="139"/>
      <c r="T84" s="139"/>
      <c r="U84" s="139"/>
      <c r="V84" s="139"/>
      <c r="W84" s="139"/>
      <c r="X84" s="237">
        <f t="shared" ref="X84:X90" si="144">SUM(Y84:AC84)</f>
        <v>0</v>
      </c>
      <c r="Y84" s="139"/>
      <c r="Z84" s="139"/>
      <c r="AA84" s="139"/>
      <c r="AB84" s="139"/>
      <c r="AC84" s="139"/>
      <c r="AD84" s="237">
        <f t="shared" ref="AD84:AD90" si="145">SUM(AE84:AI84)</f>
        <v>0</v>
      </c>
      <c r="AE84" s="139"/>
      <c r="AF84" s="139"/>
      <c r="AG84" s="139"/>
      <c r="AH84" s="139"/>
      <c r="AI84" s="139"/>
      <c r="AJ84" s="237">
        <f t="shared" ref="AJ84:AJ90" si="146">SUM(AK84:AO84)</f>
        <v>144</v>
      </c>
      <c r="AK84" s="157"/>
      <c r="AL84" s="157"/>
      <c r="AM84" s="157"/>
      <c r="AN84" s="157">
        <v>144</v>
      </c>
      <c r="AO84" s="157"/>
      <c r="AP84" s="237">
        <f t="shared" ref="AP84:AP90" si="147">SUM(AQ84:AU84)</f>
        <v>0</v>
      </c>
      <c r="AQ84" s="139"/>
      <c r="AR84" s="139"/>
      <c r="AS84" s="139"/>
      <c r="AT84" s="139"/>
      <c r="AU84" s="139"/>
      <c r="AV84" s="237">
        <f t="shared" ref="AV84:AV90" si="148">SUM(AW84:BA84)</f>
        <v>0</v>
      </c>
      <c r="AW84" s="139"/>
      <c r="AX84" s="139"/>
      <c r="AY84" s="139"/>
      <c r="AZ84" s="139"/>
      <c r="BA84" s="139"/>
      <c r="BB84" s="237">
        <f t="shared" ref="BB84:BB90" si="149">SUM(BC84:BG84)</f>
        <v>0</v>
      </c>
      <c r="BC84" s="139"/>
      <c r="BD84" s="139"/>
      <c r="BE84" s="139"/>
      <c r="BF84" s="139"/>
      <c r="BG84" s="139"/>
      <c r="BH84" s="237">
        <f t="shared" ref="BH84:BH90" si="150">SUM(BI84:BM84)</f>
        <v>0</v>
      </c>
      <c r="BI84" s="139"/>
      <c r="BJ84" s="139"/>
      <c r="BK84" s="139"/>
      <c r="BL84" s="139"/>
      <c r="BM84" s="139"/>
      <c r="BN84" s="237">
        <f>SUM(BO84:BU84)</f>
        <v>0</v>
      </c>
      <c r="BO84" s="139"/>
      <c r="BP84" s="139"/>
      <c r="BQ84" s="139"/>
      <c r="BR84" s="139"/>
      <c r="BS84" s="139"/>
      <c r="BT84" s="139"/>
      <c r="BU84" s="139"/>
      <c r="BV84" s="237">
        <f>SUM(BW84:CC84)</f>
        <v>0</v>
      </c>
      <c r="BW84" s="139"/>
      <c r="BX84" s="139"/>
      <c r="BY84" s="139"/>
      <c r="BZ84" s="139"/>
      <c r="CA84" s="139"/>
      <c r="CB84" s="139"/>
      <c r="CC84" s="139"/>
      <c r="CD84" s="135" t="s">
        <v>479</v>
      </c>
      <c r="CE84" s="499" t="s">
        <v>448</v>
      </c>
    </row>
    <row r="85" spans="1:83" s="142" customFormat="1" ht="26.1" hidden="1" customHeight="1" x14ac:dyDescent="0.2">
      <c r="A85" s="135" t="s">
        <v>192</v>
      </c>
      <c r="B85" s="134" t="s">
        <v>464</v>
      </c>
      <c r="C85" s="134"/>
      <c r="D85" s="135"/>
      <c r="E85" s="145" t="s">
        <v>40</v>
      </c>
      <c r="F85" s="135"/>
      <c r="G85" s="135"/>
      <c r="H85" s="135"/>
      <c r="I85" s="139"/>
      <c r="J85" s="139"/>
      <c r="K85" s="138">
        <f t="shared" si="139"/>
        <v>144</v>
      </c>
      <c r="L85" s="138">
        <f t="shared" si="140"/>
        <v>144</v>
      </c>
      <c r="M85" s="138">
        <f t="shared" si="141"/>
        <v>0</v>
      </c>
      <c r="N85" s="138">
        <f t="shared" si="141"/>
        <v>0</v>
      </c>
      <c r="O85" s="138">
        <f t="shared" si="141"/>
        <v>0</v>
      </c>
      <c r="P85" s="138">
        <f t="shared" si="141"/>
        <v>144</v>
      </c>
      <c r="Q85" s="138">
        <f t="shared" si="142"/>
        <v>0</v>
      </c>
      <c r="R85" s="237">
        <f t="shared" si="143"/>
        <v>0</v>
      </c>
      <c r="S85" s="139"/>
      <c r="T85" s="139"/>
      <c r="U85" s="139"/>
      <c r="V85" s="139"/>
      <c r="W85" s="139"/>
      <c r="X85" s="237">
        <f t="shared" si="144"/>
        <v>0</v>
      </c>
      <c r="Y85" s="139"/>
      <c r="Z85" s="139"/>
      <c r="AA85" s="139"/>
      <c r="AB85" s="139"/>
      <c r="AC85" s="139"/>
      <c r="AD85" s="237">
        <f t="shared" si="145"/>
        <v>0</v>
      </c>
      <c r="AE85" s="139"/>
      <c r="AF85" s="139"/>
      <c r="AG85" s="139"/>
      <c r="AH85" s="139"/>
      <c r="AI85" s="139"/>
      <c r="AJ85" s="237">
        <f t="shared" si="146"/>
        <v>0</v>
      </c>
      <c r="AK85" s="157"/>
      <c r="AL85" s="157"/>
      <c r="AM85" s="157"/>
      <c r="AN85" s="157"/>
      <c r="AO85" s="157"/>
      <c r="AP85" s="237">
        <f t="shared" si="147"/>
        <v>144</v>
      </c>
      <c r="AQ85" s="139"/>
      <c r="AR85" s="139"/>
      <c r="AS85" s="139"/>
      <c r="AT85" s="139">
        <v>144</v>
      </c>
      <c r="AU85" s="139"/>
      <c r="AV85" s="237">
        <f t="shared" si="148"/>
        <v>0</v>
      </c>
      <c r="AW85" s="139"/>
      <c r="AX85" s="139"/>
      <c r="AY85" s="139"/>
      <c r="AZ85" s="139"/>
      <c r="BA85" s="139"/>
      <c r="BB85" s="237">
        <f t="shared" si="149"/>
        <v>0</v>
      </c>
      <c r="BC85" s="139"/>
      <c r="BD85" s="139"/>
      <c r="BE85" s="139"/>
      <c r="BF85" s="139"/>
      <c r="BG85" s="139"/>
      <c r="BH85" s="237">
        <f t="shared" si="150"/>
        <v>0</v>
      </c>
      <c r="BI85" s="139"/>
      <c r="BJ85" s="139"/>
      <c r="BK85" s="139"/>
      <c r="BL85" s="139"/>
      <c r="BM85" s="139"/>
      <c r="BN85" s="237">
        <f>SUM(BO85:BU85)</f>
        <v>0</v>
      </c>
      <c r="BO85" s="139"/>
      <c r="BP85" s="139"/>
      <c r="BQ85" s="139"/>
      <c r="BR85" s="139"/>
      <c r="BS85" s="139"/>
      <c r="BT85" s="139"/>
      <c r="BU85" s="139"/>
      <c r="BV85" s="237">
        <f>SUM(BW85:CC85)</f>
        <v>0</v>
      </c>
      <c r="BW85" s="139"/>
      <c r="BX85" s="139"/>
      <c r="BY85" s="139"/>
      <c r="BZ85" s="139"/>
      <c r="CA85" s="139"/>
      <c r="CB85" s="139"/>
      <c r="CC85" s="139"/>
      <c r="CD85" s="145" t="s">
        <v>479</v>
      </c>
      <c r="CE85" s="456" t="s">
        <v>448</v>
      </c>
    </row>
    <row r="86" spans="1:83" s="142" customFormat="1" ht="26.1" hidden="1" customHeight="1" x14ac:dyDescent="0.2">
      <c r="A86" s="135" t="s">
        <v>352</v>
      </c>
      <c r="B86" s="144" t="s">
        <v>403</v>
      </c>
      <c r="C86" s="134"/>
      <c r="D86" s="135"/>
      <c r="E86" s="145" t="s">
        <v>39</v>
      </c>
      <c r="F86" s="135"/>
      <c r="G86" s="135"/>
      <c r="H86" s="135"/>
      <c r="I86" s="139"/>
      <c r="J86" s="139"/>
      <c r="K86" s="138">
        <f t="shared" si="139"/>
        <v>216</v>
      </c>
      <c r="L86" s="138">
        <f t="shared" si="140"/>
        <v>216</v>
      </c>
      <c r="M86" s="138">
        <f t="shared" si="141"/>
        <v>0</v>
      </c>
      <c r="N86" s="138">
        <f t="shared" si="141"/>
        <v>0</v>
      </c>
      <c r="O86" s="138">
        <f t="shared" si="141"/>
        <v>0</v>
      </c>
      <c r="P86" s="138">
        <f t="shared" si="141"/>
        <v>216</v>
      </c>
      <c r="Q86" s="138">
        <f t="shared" si="142"/>
        <v>0</v>
      </c>
      <c r="R86" s="237">
        <f t="shared" si="143"/>
        <v>0</v>
      </c>
      <c r="S86" s="139"/>
      <c r="T86" s="139"/>
      <c r="U86" s="139"/>
      <c r="V86" s="139"/>
      <c r="W86" s="139"/>
      <c r="X86" s="237">
        <f t="shared" si="144"/>
        <v>0</v>
      </c>
      <c r="Y86" s="139"/>
      <c r="Z86" s="139"/>
      <c r="AA86" s="139"/>
      <c r="AB86" s="139"/>
      <c r="AC86" s="139"/>
      <c r="AD86" s="237">
        <f t="shared" si="145"/>
        <v>0</v>
      </c>
      <c r="AE86" s="139"/>
      <c r="AF86" s="139"/>
      <c r="AG86" s="139"/>
      <c r="AH86" s="139"/>
      <c r="AI86" s="139"/>
      <c r="AJ86" s="237">
        <f t="shared" si="146"/>
        <v>216</v>
      </c>
      <c r="AK86" s="157"/>
      <c r="AL86" s="157"/>
      <c r="AM86" s="157"/>
      <c r="AN86" s="157">
        <v>216</v>
      </c>
      <c r="AO86" s="157"/>
      <c r="AP86" s="237">
        <f t="shared" si="147"/>
        <v>0</v>
      </c>
      <c r="AQ86" s="139"/>
      <c r="AR86" s="139"/>
      <c r="AS86" s="139"/>
      <c r="AT86" s="139"/>
      <c r="AU86" s="139"/>
      <c r="AV86" s="237">
        <f t="shared" si="148"/>
        <v>0</v>
      </c>
      <c r="AW86" s="139"/>
      <c r="AX86" s="139"/>
      <c r="AY86" s="139"/>
      <c r="AZ86" s="139"/>
      <c r="BA86" s="139"/>
      <c r="BB86" s="237">
        <f t="shared" si="149"/>
        <v>0</v>
      </c>
      <c r="BC86" s="139"/>
      <c r="BD86" s="139"/>
      <c r="BE86" s="139"/>
      <c r="BF86" s="139"/>
      <c r="BG86" s="139"/>
      <c r="BH86" s="237">
        <f t="shared" si="150"/>
        <v>0</v>
      </c>
      <c r="BI86" s="139"/>
      <c r="BJ86" s="139"/>
      <c r="BK86" s="139"/>
      <c r="BL86" s="139"/>
      <c r="BM86" s="139"/>
      <c r="BN86" s="237"/>
      <c r="BO86" s="139"/>
      <c r="BP86" s="139"/>
      <c r="BQ86" s="139"/>
      <c r="BR86" s="139"/>
      <c r="BS86" s="139"/>
      <c r="BT86" s="139"/>
      <c r="BU86" s="139"/>
      <c r="BV86" s="237"/>
      <c r="BW86" s="139"/>
      <c r="BX86" s="139"/>
      <c r="BY86" s="139"/>
      <c r="BZ86" s="139"/>
      <c r="CA86" s="139"/>
      <c r="CB86" s="139"/>
      <c r="CC86" s="139"/>
      <c r="CD86" s="135" t="s">
        <v>479</v>
      </c>
      <c r="CE86" s="499" t="s">
        <v>447</v>
      </c>
    </row>
    <row r="87" spans="1:83" s="142" customFormat="1" ht="26.1" hidden="1" customHeight="1" x14ac:dyDescent="0.2">
      <c r="A87" s="135" t="s">
        <v>455</v>
      </c>
      <c r="B87" s="359" t="s">
        <v>404</v>
      </c>
      <c r="C87" s="134"/>
      <c r="D87" s="135"/>
      <c r="E87" s="145" t="s">
        <v>39</v>
      </c>
      <c r="F87" s="135"/>
      <c r="G87" s="135"/>
      <c r="H87" s="135"/>
      <c r="I87" s="139"/>
      <c r="J87" s="139"/>
      <c r="K87" s="138">
        <f t="shared" si="139"/>
        <v>72</v>
      </c>
      <c r="L87" s="138">
        <f t="shared" si="140"/>
        <v>72</v>
      </c>
      <c r="M87" s="138">
        <f t="shared" si="141"/>
        <v>0</v>
      </c>
      <c r="N87" s="138">
        <f t="shared" si="141"/>
        <v>0</v>
      </c>
      <c r="O87" s="138">
        <f t="shared" si="141"/>
        <v>0</v>
      </c>
      <c r="P87" s="327">
        <f t="shared" si="141"/>
        <v>72</v>
      </c>
      <c r="Q87" s="138">
        <f t="shared" si="142"/>
        <v>0</v>
      </c>
      <c r="R87" s="237">
        <f t="shared" si="143"/>
        <v>0</v>
      </c>
      <c r="S87" s="139"/>
      <c r="T87" s="139"/>
      <c r="U87" s="139"/>
      <c r="V87" s="139"/>
      <c r="W87" s="139"/>
      <c r="X87" s="237">
        <f t="shared" si="144"/>
        <v>0</v>
      </c>
      <c r="Y87" s="139"/>
      <c r="Z87" s="139"/>
      <c r="AA87" s="139"/>
      <c r="AB87" s="139"/>
      <c r="AC87" s="139"/>
      <c r="AD87" s="237">
        <f t="shared" si="145"/>
        <v>0</v>
      </c>
      <c r="AE87" s="139"/>
      <c r="AF87" s="139"/>
      <c r="AG87" s="139"/>
      <c r="AH87" s="139"/>
      <c r="AI87" s="139"/>
      <c r="AJ87" s="237">
        <f t="shared" si="146"/>
        <v>72</v>
      </c>
      <c r="AK87" s="157"/>
      <c r="AL87" s="157"/>
      <c r="AM87" s="157"/>
      <c r="AN87" s="157">
        <v>72</v>
      </c>
      <c r="AO87" s="157"/>
      <c r="AP87" s="237">
        <f t="shared" si="147"/>
        <v>0</v>
      </c>
      <c r="AQ87" s="139"/>
      <c r="AR87" s="139"/>
      <c r="AS87" s="139"/>
      <c r="AT87" s="139"/>
      <c r="AU87" s="139"/>
      <c r="AV87" s="237">
        <f t="shared" si="148"/>
        <v>0</v>
      </c>
      <c r="AW87" s="139"/>
      <c r="AX87" s="139"/>
      <c r="AY87" s="139"/>
      <c r="AZ87" s="139"/>
      <c r="BA87" s="139"/>
      <c r="BB87" s="237">
        <f t="shared" si="149"/>
        <v>0</v>
      </c>
      <c r="BC87" s="139"/>
      <c r="BD87" s="139"/>
      <c r="BE87" s="139"/>
      <c r="BF87" s="139"/>
      <c r="BG87" s="139"/>
      <c r="BH87" s="237">
        <f t="shared" si="150"/>
        <v>0</v>
      </c>
      <c r="BI87" s="139"/>
      <c r="BJ87" s="139"/>
      <c r="BK87" s="139"/>
      <c r="BL87" s="139"/>
      <c r="BM87" s="139"/>
      <c r="BN87" s="237"/>
      <c r="BO87" s="139"/>
      <c r="BP87" s="139"/>
      <c r="BQ87" s="139"/>
      <c r="BR87" s="139"/>
      <c r="BS87" s="139"/>
      <c r="BT87" s="139"/>
      <c r="BU87" s="139"/>
      <c r="BV87" s="237"/>
      <c r="BW87" s="139"/>
      <c r="BX87" s="139"/>
      <c r="BY87" s="139"/>
      <c r="BZ87" s="139"/>
      <c r="CA87" s="139"/>
      <c r="CB87" s="139"/>
      <c r="CC87" s="139"/>
      <c r="CD87" s="135" t="s">
        <v>479</v>
      </c>
      <c r="CE87" s="499" t="s">
        <v>449</v>
      </c>
    </row>
    <row r="88" spans="1:83" s="142" customFormat="1" ht="26.1" hidden="1" customHeight="1" x14ac:dyDescent="0.2">
      <c r="A88" s="145" t="s">
        <v>358</v>
      </c>
      <c r="B88" s="134" t="s">
        <v>499</v>
      </c>
      <c r="C88" s="158"/>
      <c r="D88" s="145"/>
      <c r="E88" s="145" t="s">
        <v>39</v>
      </c>
      <c r="F88" s="145"/>
      <c r="G88" s="145"/>
      <c r="H88" s="145"/>
      <c r="I88" s="157"/>
      <c r="J88" s="157"/>
      <c r="K88" s="138">
        <f t="shared" si="139"/>
        <v>0</v>
      </c>
      <c r="L88" s="138">
        <f t="shared" si="140"/>
        <v>0</v>
      </c>
      <c r="M88" s="138">
        <f t="shared" si="141"/>
        <v>0</v>
      </c>
      <c r="N88" s="138">
        <f t="shared" si="141"/>
        <v>0</v>
      </c>
      <c r="O88" s="138">
        <f t="shared" si="141"/>
        <v>0</v>
      </c>
      <c r="P88" s="327">
        <f t="shared" si="141"/>
        <v>0</v>
      </c>
      <c r="Q88" s="138">
        <f t="shared" si="142"/>
        <v>0</v>
      </c>
      <c r="R88" s="237">
        <f t="shared" si="143"/>
        <v>0</v>
      </c>
      <c r="S88" s="157"/>
      <c r="T88" s="157"/>
      <c r="U88" s="157"/>
      <c r="V88" s="157"/>
      <c r="W88" s="157"/>
      <c r="X88" s="237">
        <f t="shared" si="144"/>
        <v>0</v>
      </c>
      <c r="Y88" s="157"/>
      <c r="Z88" s="157"/>
      <c r="AA88" s="157"/>
      <c r="AB88" s="157"/>
      <c r="AC88" s="157"/>
      <c r="AD88" s="237">
        <f t="shared" si="145"/>
        <v>0</v>
      </c>
      <c r="AE88" s="157"/>
      <c r="AF88" s="157"/>
      <c r="AG88" s="157"/>
      <c r="AH88" s="157"/>
      <c r="AI88" s="157"/>
      <c r="AJ88" s="237">
        <f t="shared" si="146"/>
        <v>0</v>
      </c>
      <c r="AK88" s="329"/>
      <c r="AL88" s="329">
        <f t="shared" ref="AL88:AM88" si="151">SUM(AL89:AL90)</f>
        <v>0</v>
      </c>
      <c r="AM88" s="329">
        <f t="shared" si="151"/>
        <v>0</v>
      </c>
      <c r="AN88" s="329"/>
      <c r="AO88" s="329"/>
      <c r="AP88" s="237">
        <f t="shared" si="147"/>
        <v>0</v>
      </c>
      <c r="AQ88" s="157"/>
      <c r="AR88" s="157"/>
      <c r="AS88" s="157"/>
      <c r="AT88" s="157"/>
      <c r="AU88" s="157"/>
      <c r="AV88" s="237">
        <f t="shared" si="148"/>
        <v>0</v>
      </c>
      <c r="AW88" s="157"/>
      <c r="AX88" s="157"/>
      <c r="AY88" s="157"/>
      <c r="AZ88" s="157"/>
      <c r="BA88" s="157"/>
      <c r="BB88" s="237">
        <f t="shared" si="149"/>
        <v>0</v>
      </c>
      <c r="BC88" s="157"/>
      <c r="BD88" s="157"/>
      <c r="BE88" s="157"/>
      <c r="BF88" s="157"/>
      <c r="BG88" s="157"/>
      <c r="BH88" s="237">
        <f t="shared" si="150"/>
        <v>0</v>
      </c>
      <c r="BI88" s="157"/>
      <c r="BJ88" s="157"/>
      <c r="BK88" s="157"/>
      <c r="BL88" s="157"/>
      <c r="BM88" s="157"/>
      <c r="BN88" s="181"/>
      <c r="BO88" s="163"/>
      <c r="BP88" s="163"/>
      <c r="BQ88" s="163"/>
      <c r="BR88" s="163"/>
      <c r="BS88" s="163"/>
      <c r="BT88" s="163"/>
      <c r="BU88" s="163"/>
      <c r="BV88" s="181"/>
      <c r="BW88" s="163"/>
      <c r="BX88" s="163"/>
      <c r="BY88" s="163"/>
      <c r="BZ88" s="163"/>
      <c r="CA88" s="163"/>
      <c r="CB88" s="163"/>
      <c r="CC88" s="163"/>
      <c r="CD88" s="513" t="s">
        <v>479</v>
      </c>
      <c r="CE88" s="456" t="s">
        <v>449</v>
      </c>
    </row>
    <row r="89" spans="1:83" s="142" customFormat="1" ht="26.1" hidden="1" customHeight="1" x14ac:dyDescent="0.2">
      <c r="A89" s="145"/>
      <c r="B89" s="360" t="s">
        <v>354</v>
      </c>
      <c r="C89" s="362"/>
      <c r="D89" s="362"/>
      <c r="E89" s="707"/>
      <c r="F89" s="362"/>
      <c r="G89" s="362"/>
      <c r="H89" s="362"/>
      <c r="I89" s="139"/>
      <c r="J89" s="139"/>
      <c r="K89" s="138">
        <f t="shared" si="139"/>
        <v>0</v>
      </c>
      <c r="L89" s="138">
        <f t="shared" si="140"/>
        <v>0</v>
      </c>
      <c r="M89" s="138">
        <f>S89+Y89+AE89+AK89+AQ89+AW89+BC89+BI89+BP89+BX89</f>
        <v>0</v>
      </c>
      <c r="N89" s="138">
        <f>T89+Z89+AF89+AL89+AR89+AX89+BD89+BJ89+BQ89+BY89</f>
        <v>0</v>
      </c>
      <c r="O89" s="138"/>
      <c r="P89" s="138"/>
      <c r="Q89" s="138">
        <f t="shared" si="142"/>
        <v>0</v>
      </c>
      <c r="R89" s="237">
        <f t="shared" si="143"/>
        <v>0</v>
      </c>
      <c r="S89" s="139"/>
      <c r="T89" s="139"/>
      <c r="U89" s="139"/>
      <c r="V89" s="139"/>
      <c r="W89" s="139"/>
      <c r="X89" s="237">
        <f t="shared" si="144"/>
        <v>0</v>
      </c>
      <c r="Y89" s="139"/>
      <c r="Z89" s="139"/>
      <c r="AA89" s="139"/>
      <c r="AB89" s="139"/>
      <c r="AC89" s="139"/>
      <c r="AD89" s="237">
        <f t="shared" si="145"/>
        <v>0</v>
      </c>
      <c r="AE89" s="139"/>
      <c r="AF89" s="139"/>
      <c r="AG89" s="139"/>
      <c r="AH89" s="139"/>
      <c r="AI89" s="139"/>
      <c r="AJ89" s="237">
        <f t="shared" si="146"/>
        <v>0</v>
      </c>
      <c r="AK89" s="157"/>
      <c r="AL89" s="157"/>
      <c r="AM89" s="157"/>
      <c r="AN89" s="157"/>
      <c r="AO89" s="157"/>
      <c r="AP89" s="237">
        <f t="shared" si="147"/>
        <v>0</v>
      </c>
      <c r="AQ89" s="157"/>
      <c r="AR89" s="157"/>
      <c r="AS89" s="139"/>
      <c r="AT89" s="139"/>
      <c r="AU89" s="139"/>
      <c r="AV89" s="237">
        <f t="shared" si="148"/>
        <v>0</v>
      </c>
      <c r="AW89" s="139"/>
      <c r="AX89" s="139"/>
      <c r="AY89" s="139"/>
      <c r="AZ89" s="139"/>
      <c r="BA89" s="139"/>
      <c r="BB89" s="237">
        <f t="shared" si="149"/>
        <v>0</v>
      </c>
      <c r="BC89" s="139"/>
      <c r="BD89" s="139"/>
      <c r="BE89" s="139"/>
      <c r="BF89" s="139"/>
      <c r="BG89" s="139"/>
      <c r="BH89" s="237">
        <f t="shared" si="150"/>
        <v>0</v>
      </c>
      <c r="BI89" s="139"/>
      <c r="BJ89" s="139"/>
      <c r="BK89" s="139"/>
      <c r="BL89" s="139"/>
      <c r="BM89" s="139"/>
      <c r="BN89" s="237"/>
      <c r="BO89" s="139"/>
      <c r="BP89" s="139"/>
      <c r="BQ89" s="139"/>
      <c r="BR89" s="139"/>
      <c r="BS89" s="139"/>
      <c r="BT89" s="139"/>
      <c r="BU89" s="139"/>
      <c r="BV89" s="237"/>
      <c r="BW89" s="139"/>
      <c r="BX89" s="139"/>
      <c r="BY89" s="139"/>
      <c r="BZ89" s="139"/>
      <c r="CA89" s="139"/>
      <c r="CB89" s="139"/>
      <c r="CC89" s="139"/>
      <c r="CD89" s="135" t="s">
        <v>479</v>
      </c>
      <c r="CE89" s="499" t="s">
        <v>449</v>
      </c>
    </row>
    <row r="90" spans="1:83" s="142" customFormat="1" ht="26.1" hidden="1" customHeight="1" x14ac:dyDescent="0.2">
      <c r="A90" s="145"/>
      <c r="B90" s="144" t="s">
        <v>355</v>
      </c>
      <c r="C90" s="362"/>
      <c r="D90" s="362"/>
      <c r="E90" s="707"/>
      <c r="F90" s="362"/>
      <c r="G90" s="362"/>
      <c r="H90" s="362"/>
      <c r="I90" s="139"/>
      <c r="J90" s="139"/>
      <c r="K90" s="138">
        <f t="shared" si="139"/>
        <v>0</v>
      </c>
      <c r="L90" s="138">
        <f t="shared" si="140"/>
        <v>0</v>
      </c>
      <c r="M90" s="138">
        <f>S90+Y90+AE90+AK90+AQ90+AW90+BC90+BI90+BP90+BX90</f>
        <v>0</v>
      </c>
      <c r="N90" s="138">
        <f>T90+Z90+AF90+AL90+AR90+AX90+BD90+BJ90+BQ90+BY90</f>
        <v>0</v>
      </c>
      <c r="O90" s="138"/>
      <c r="P90" s="138"/>
      <c r="Q90" s="138">
        <f t="shared" si="142"/>
        <v>0</v>
      </c>
      <c r="R90" s="237">
        <f t="shared" si="143"/>
        <v>0</v>
      </c>
      <c r="S90" s="139"/>
      <c r="T90" s="139"/>
      <c r="U90" s="139"/>
      <c r="V90" s="139"/>
      <c r="W90" s="139"/>
      <c r="X90" s="237">
        <f t="shared" si="144"/>
        <v>0</v>
      </c>
      <c r="Y90" s="139"/>
      <c r="Z90" s="139"/>
      <c r="AA90" s="139"/>
      <c r="AB90" s="139"/>
      <c r="AC90" s="139"/>
      <c r="AD90" s="237">
        <f t="shared" si="145"/>
        <v>0</v>
      </c>
      <c r="AE90" s="139"/>
      <c r="AF90" s="139"/>
      <c r="AG90" s="139"/>
      <c r="AH90" s="139"/>
      <c r="AI90" s="139"/>
      <c r="AJ90" s="237">
        <f t="shared" si="146"/>
        <v>0</v>
      </c>
      <c r="AK90" s="157"/>
      <c r="AL90" s="157"/>
      <c r="AM90" s="157"/>
      <c r="AN90" s="157"/>
      <c r="AO90" s="157"/>
      <c r="AP90" s="237">
        <f t="shared" si="147"/>
        <v>0</v>
      </c>
      <c r="AQ90" s="139"/>
      <c r="AR90" s="139"/>
      <c r="AS90" s="139"/>
      <c r="AT90" s="139"/>
      <c r="AU90" s="139"/>
      <c r="AV90" s="237">
        <f t="shared" si="148"/>
        <v>0</v>
      </c>
      <c r="AW90" s="139"/>
      <c r="AX90" s="139"/>
      <c r="AY90" s="139"/>
      <c r="AZ90" s="139"/>
      <c r="BA90" s="139"/>
      <c r="BB90" s="237">
        <f t="shared" si="149"/>
        <v>0</v>
      </c>
      <c r="BC90" s="139"/>
      <c r="BD90" s="139"/>
      <c r="BE90" s="139"/>
      <c r="BF90" s="139"/>
      <c r="BG90" s="139"/>
      <c r="BH90" s="237">
        <f t="shared" si="150"/>
        <v>0</v>
      </c>
      <c r="BI90" s="139"/>
      <c r="BJ90" s="139"/>
      <c r="BK90" s="139"/>
      <c r="BL90" s="139"/>
      <c r="BM90" s="139"/>
      <c r="BN90" s="237"/>
      <c r="BO90" s="139"/>
      <c r="BP90" s="139"/>
      <c r="BQ90" s="139"/>
      <c r="BR90" s="139"/>
      <c r="BS90" s="139"/>
      <c r="BT90" s="139"/>
      <c r="BU90" s="139"/>
      <c r="BV90" s="237"/>
      <c r="BW90" s="139"/>
      <c r="BX90" s="139"/>
      <c r="BY90" s="139"/>
      <c r="BZ90" s="139"/>
      <c r="CA90" s="139"/>
      <c r="CB90" s="139"/>
      <c r="CC90" s="139"/>
      <c r="CD90" s="135" t="s">
        <v>479</v>
      </c>
      <c r="CE90" s="499" t="s">
        <v>449</v>
      </c>
    </row>
    <row r="91" spans="1:83" s="150" customFormat="1" ht="26.1" customHeight="1" x14ac:dyDescent="0.2">
      <c r="A91" s="497" t="s">
        <v>193</v>
      </c>
      <c r="B91" s="681" t="s">
        <v>130</v>
      </c>
      <c r="C91" s="681"/>
      <c r="D91" s="271"/>
      <c r="E91" s="271"/>
      <c r="F91" s="271"/>
      <c r="G91" s="271"/>
      <c r="H91" s="271"/>
      <c r="I91" s="493"/>
      <c r="J91" s="493"/>
      <c r="K91" s="493">
        <f>SUM(K92:K93)</f>
        <v>1296</v>
      </c>
      <c r="L91" s="493">
        <f>SUM(L92:L93)</f>
        <v>1296</v>
      </c>
      <c r="M91" s="493">
        <f>SUM(M92:M93)</f>
        <v>0</v>
      </c>
      <c r="N91" s="493">
        <f t="shared" ref="N91:O91" si="152">SUM(N92:N92)</f>
        <v>0</v>
      </c>
      <c r="O91" s="493">
        <f t="shared" si="152"/>
        <v>0</v>
      </c>
      <c r="P91" s="493">
        <f>SUM(P92:P93)</f>
        <v>1296</v>
      </c>
      <c r="Q91" s="493">
        <f>SUM(Q92:Q93)</f>
        <v>0</v>
      </c>
      <c r="R91" s="493">
        <f t="shared" ref="R91:AO91" si="153">SUM(R92:R92)</f>
        <v>0</v>
      </c>
      <c r="S91" s="493">
        <f t="shared" si="153"/>
        <v>0</v>
      </c>
      <c r="T91" s="493">
        <f t="shared" si="153"/>
        <v>0</v>
      </c>
      <c r="U91" s="493">
        <f t="shared" si="153"/>
        <v>0</v>
      </c>
      <c r="V91" s="493">
        <f t="shared" si="153"/>
        <v>0</v>
      </c>
      <c r="W91" s="493">
        <f t="shared" si="153"/>
        <v>0</v>
      </c>
      <c r="X91" s="493">
        <f t="shared" si="153"/>
        <v>0</v>
      </c>
      <c r="Y91" s="493">
        <f t="shared" si="153"/>
        <v>0</v>
      </c>
      <c r="Z91" s="493">
        <f t="shared" si="153"/>
        <v>0</v>
      </c>
      <c r="AA91" s="493">
        <f t="shared" si="153"/>
        <v>0</v>
      </c>
      <c r="AB91" s="493">
        <f t="shared" si="153"/>
        <v>0</v>
      </c>
      <c r="AC91" s="493">
        <f t="shared" si="153"/>
        <v>0</v>
      </c>
      <c r="AD91" s="493">
        <f t="shared" si="153"/>
        <v>0</v>
      </c>
      <c r="AE91" s="493">
        <f t="shared" si="153"/>
        <v>0</v>
      </c>
      <c r="AF91" s="493">
        <f t="shared" si="153"/>
        <v>0</v>
      </c>
      <c r="AG91" s="493">
        <f t="shared" si="153"/>
        <v>0</v>
      </c>
      <c r="AH91" s="493">
        <f t="shared" si="153"/>
        <v>0</v>
      </c>
      <c r="AI91" s="493">
        <f t="shared" si="153"/>
        <v>0</v>
      </c>
      <c r="AJ91" s="493">
        <f t="shared" si="153"/>
        <v>0</v>
      </c>
      <c r="AK91" s="493">
        <f t="shared" si="153"/>
        <v>0</v>
      </c>
      <c r="AL91" s="493">
        <f t="shared" si="153"/>
        <v>0</v>
      </c>
      <c r="AM91" s="493">
        <f t="shared" si="153"/>
        <v>0</v>
      </c>
      <c r="AN91" s="493">
        <f t="shared" si="153"/>
        <v>0</v>
      </c>
      <c r="AO91" s="493">
        <f t="shared" si="153"/>
        <v>0</v>
      </c>
      <c r="AP91" s="493">
        <f t="shared" ref="AP91:BE91" si="154">SUM(AP92:AP92)</f>
        <v>0</v>
      </c>
      <c r="AQ91" s="493">
        <f t="shared" si="154"/>
        <v>0</v>
      </c>
      <c r="AR91" s="493">
        <f t="shared" si="154"/>
        <v>0</v>
      </c>
      <c r="AS91" s="493">
        <f t="shared" si="154"/>
        <v>0</v>
      </c>
      <c r="AT91" s="493">
        <f t="shared" si="154"/>
        <v>0</v>
      </c>
      <c r="AU91" s="493">
        <f t="shared" si="154"/>
        <v>0</v>
      </c>
      <c r="AV91" s="493">
        <f t="shared" si="154"/>
        <v>684</v>
      </c>
      <c r="AW91" s="493">
        <f t="shared" si="154"/>
        <v>0</v>
      </c>
      <c r="AX91" s="493">
        <f t="shared" si="154"/>
        <v>0</v>
      </c>
      <c r="AY91" s="493">
        <f t="shared" si="154"/>
        <v>0</v>
      </c>
      <c r="AZ91" s="493">
        <f t="shared" si="154"/>
        <v>684</v>
      </c>
      <c r="BA91" s="493">
        <f t="shared" si="154"/>
        <v>0</v>
      </c>
      <c r="BB91" s="493">
        <f>SUM(BB92:BB93)</f>
        <v>612</v>
      </c>
      <c r="BC91" s="493">
        <f t="shared" si="154"/>
        <v>0</v>
      </c>
      <c r="BD91" s="493">
        <f t="shared" si="154"/>
        <v>0</v>
      </c>
      <c r="BE91" s="493">
        <f t="shared" si="154"/>
        <v>0</v>
      </c>
      <c r="BF91" s="493">
        <f>SUM(BF92:BF93)</f>
        <v>612</v>
      </c>
      <c r="BG91" s="493">
        <f t="shared" ref="BG91:BK91" si="155">SUM(BG92:BG93)</f>
        <v>0</v>
      </c>
      <c r="BH91" s="493">
        <f t="shared" si="155"/>
        <v>0</v>
      </c>
      <c r="BI91" s="493">
        <f t="shared" si="155"/>
        <v>0</v>
      </c>
      <c r="BJ91" s="493">
        <f t="shared" si="155"/>
        <v>0</v>
      </c>
      <c r="BK91" s="493">
        <f t="shared" si="155"/>
        <v>0</v>
      </c>
      <c r="BL91" s="493">
        <f>SUM(BL92:BL93)</f>
        <v>0</v>
      </c>
      <c r="BM91" s="493">
        <f t="shared" ref="BM91:CC91" si="156">SUM(BM92:BM93)</f>
        <v>0</v>
      </c>
      <c r="BN91" s="493">
        <f t="shared" si="156"/>
        <v>0</v>
      </c>
      <c r="BO91" s="493">
        <f t="shared" si="156"/>
        <v>0</v>
      </c>
      <c r="BP91" s="493">
        <f t="shared" si="156"/>
        <v>0</v>
      </c>
      <c r="BQ91" s="493">
        <f t="shared" si="156"/>
        <v>0</v>
      </c>
      <c r="BR91" s="493">
        <f t="shared" si="156"/>
        <v>0</v>
      </c>
      <c r="BS91" s="493">
        <f t="shared" si="156"/>
        <v>0</v>
      </c>
      <c r="BT91" s="493">
        <f t="shared" si="156"/>
        <v>0</v>
      </c>
      <c r="BU91" s="493">
        <f t="shared" si="156"/>
        <v>0</v>
      </c>
      <c r="BV91" s="493">
        <f t="shared" si="156"/>
        <v>0</v>
      </c>
      <c r="BW91" s="493">
        <f t="shared" si="156"/>
        <v>0</v>
      </c>
      <c r="BX91" s="493">
        <f t="shared" si="156"/>
        <v>0</v>
      </c>
      <c r="BY91" s="493">
        <f t="shared" si="156"/>
        <v>0</v>
      </c>
      <c r="BZ91" s="493">
        <f t="shared" si="156"/>
        <v>0</v>
      </c>
      <c r="CA91" s="493">
        <f t="shared" si="156"/>
        <v>0</v>
      </c>
      <c r="CB91" s="493">
        <f t="shared" si="156"/>
        <v>0</v>
      </c>
      <c r="CC91" s="493">
        <f t="shared" si="156"/>
        <v>0</v>
      </c>
      <c r="CD91" s="271" t="s">
        <v>479</v>
      </c>
      <c r="CE91" s="271" t="s">
        <v>450</v>
      </c>
    </row>
    <row r="92" spans="1:83" s="142" customFormat="1" ht="26.1" customHeight="1" x14ac:dyDescent="0.2">
      <c r="A92" s="135" t="s">
        <v>194</v>
      </c>
      <c r="B92" s="134" t="s">
        <v>523</v>
      </c>
      <c r="C92" s="134"/>
      <c r="D92" s="135"/>
      <c r="E92" s="135" t="s">
        <v>42</v>
      </c>
      <c r="F92" s="135"/>
      <c r="G92" s="135"/>
      <c r="H92" s="135"/>
      <c r="I92" s="139"/>
      <c r="J92" s="139"/>
      <c r="K92" s="138">
        <f>L92+SUM(Q92:Q92)</f>
        <v>1152</v>
      </c>
      <c r="L92" s="138">
        <f>SUM(M92:P92)</f>
        <v>1152</v>
      </c>
      <c r="M92" s="138">
        <f t="shared" ref="M92:P93" si="157">S92+Y92+AE92+AK92+AQ92+AW92+BC92+BI92+BP92+BX92</f>
        <v>0</v>
      </c>
      <c r="N92" s="138">
        <f t="shared" si="157"/>
        <v>0</v>
      </c>
      <c r="O92" s="138">
        <f t="shared" si="157"/>
        <v>0</v>
      </c>
      <c r="P92" s="138">
        <f t="shared" si="157"/>
        <v>1152</v>
      </c>
      <c r="Q92" s="138">
        <f>W92+AC92+AI92+AO92+AU92+BA92+BG92+BM92+BU92+CC92</f>
        <v>0</v>
      </c>
      <c r="R92" s="237">
        <f>SUM(S92:W92)</f>
        <v>0</v>
      </c>
      <c r="S92" s="139"/>
      <c r="T92" s="139"/>
      <c r="U92" s="139"/>
      <c r="V92" s="139"/>
      <c r="W92" s="139"/>
      <c r="X92" s="237">
        <f>SUM(Y92:AC92)</f>
        <v>0</v>
      </c>
      <c r="Y92" s="139"/>
      <c r="Z92" s="139"/>
      <c r="AA92" s="139"/>
      <c r="AB92" s="139"/>
      <c r="AC92" s="139"/>
      <c r="AD92" s="237">
        <f>SUM(AE92:AI92)</f>
        <v>0</v>
      </c>
      <c r="AE92" s="139"/>
      <c r="AF92" s="139"/>
      <c r="AG92" s="139"/>
      <c r="AH92" s="139"/>
      <c r="AI92" s="139"/>
      <c r="AJ92" s="237">
        <f>SUM(AK92:AO92)</f>
        <v>0</v>
      </c>
      <c r="AK92" s="139"/>
      <c r="AL92" s="139"/>
      <c r="AM92" s="139"/>
      <c r="AN92" s="139"/>
      <c r="AO92" s="139"/>
      <c r="AP92" s="237">
        <f>SUM(AQ92:AU92)</f>
        <v>0</v>
      </c>
      <c r="AQ92" s="139"/>
      <c r="AR92" s="139"/>
      <c r="AS92" s="139"/>
      <c r="AT92" s="139"/>
      <c r="AU92" s="139"/>
      <c r="AV92" s="237">
        <f>SUM(AW92:BA92)</f>
        <v>684</v>
      </c>
      <c r="AW92" s="139"/>
      <c r="AX92" s="139"/>
      <c r="AY92" s="139"/>
      <c r="AZ92" s="139">
        <v>684</v>
      </c>
      <c r="BA92" s="139"/>
      <c r="BB92" s="237">
        <f>SUM(BC92:BG92)</f>
        <v>468</v>
      </c>
      <c r="BC92" s="139"/>
      <c r="BD92" s="139"/>
      <c r="BE92" s="139"/>
      <c r="BF92" s="139">
        <v>468</v>
      </c>
      <c r="BG92" s="139"/>
      <c r="BH92" s="237">
        <f>SUM(BI92:BM92)</f>
        <v>0</v>
      </c>
      <c r="BI92" s="139"/>
      <c r="BJ92" s="139"/>
      <c r="BK92" s="139"/>
      <c r="BL92" s="139"/>
      <c r="BM92" s="139"/>
      <c r="BN92" s="237">
        <f>SUM(BO92:BU92)</f>
        <v>0</v>
      </c>
      <c r="BO92" s="139"/>
      <c r="BP92" s="139"/>
      <c r="BQ92" s="139"/>
      <c r="BR92" s="139"/>
      <c r="BS92" s="139"/>
      <c r="BT92" s="139"/>
      <c r="BU92" s="139"/>
      <c r="BV92" s="237">
        <f>SUM(BW92:CC92)</f>
        <v>0</v>
      </c>
      <c r="BW92" s="139"/>
      <c r="BX92" s="139"/>
      <c r="BY92" s="139"/>
      <c r="BZ92" s="139"/>
      <c r="CA92" s="139"/>
      <c r="CB92" s="139"/>
      <c r="CC92" s="139"/>
      <c r="CD92" s="421" t="s">
        <v>479</v>
      </c>
      <c r="CE92" s="499" t="s">
        <v>450</v>
      </c>
    </row>
    <row r="93" spans="1:83" s="142" customFormat="1" ht="26.1" customHeight="1" x14ac:dyDescent="0.2">
      <c r="A93" s="135" t="s">
        <v>456</v>
      </c>
      <c r="B93" s="134" t="s">
        <v>465</v>
      </c>
      <c r="C93" s="134"/>
      <c r="D93" s="135"/>
      <c r="E93" s="421" t="s">
        <v>42</v>
      </c>
      <c r="F93" s="135"/>
      <c r="G93" s="135"/>
      <c r="H93" s="135"/>
      <c r="I93" s="139"/>
      <c r="J93" s="139"/>
      <c r="K93" s="138">
        <f>L93+SUM(Q93:Q93)</f>
        <v>144</v>
      </c>
      <c r="L93" s="138">
        <f>SUM(M93:P93)</f>
        <v>144</v>
      </c>
      <c r="M93" s="138">
        <f t="shared" si="157"/>
        <v>0</v>
      </c>
      <c r="N93" s="138">
        <f t="shared" si="157"/>
        <v>0</v>
      </c>
      <c r="O93" s="138">
        <f t="shared" si="157"/>
        <v>0</v>
      </c>
      <c r="P93" s="138">
        <f t="shared" si="157"/>
        <v>144</v>
      </c>
      <c r="Q93" s="138">
        <f>W93+AC93+AI93+AO93+AU93+BA93+BG93+BM93+BU93+CC93</f>
        <v>0</v>
      </c>
      <c r="R93" s="237"/>
      <c r="S93" s="139"/>
      <c r="T93" s="139"/>
      <c r="U93" s="139"/>
      <c r="V93" s="139"/>
      <c r="W93" s="139"/>
      <c r="X93" s="237"/>
      <c r="Y93" s="139"/>
      <c r="Z93" s="139"/>
      <c r="AA93" s="139"/>
      <c r="AB93" s="139"/>
      <c r="AC93" s="139"/>
      <c r="AD93" s="237"/>
      <c r="AE93" s="139"/>
      <c r="AF93" s="139"/>
      <c r="AG93" s="139"/>
      <c r="AH93" s="139"/>
      <c r="AI93" s="139"/>
      <c r="AJ93" s="237"/>
      <c r="AK93" s="139"/>
      <c r="AL93" s="139"/>
      <c r="AM93" s="139"/>
      <c r="AN93" s="139"/>
      <c r="AO93" s="139"/>
      <c r="AP93" s="237"/>
      <c r="AQ93" s="139"/>
      <c r="AR93" s="139"/>
      <c r="AS93" s="139"/>
      <c r="AT93" s="139"/>
      <c r="AU93" s="139"/>
      <c r="AV93" s="237"/>
      <c r="AW93" s="139"/>
      <c r="AX93" s="139"/>
      <c r="AY93" s="139"/>
      <c r="AZ93" s="139"/>
      <c r="BA93" s="139"/>
      <c r="BB93" s="237">
        <f>SUM(BC93:BG93)</f>
        <v>144</v>
      </c>
      <c r="BC93" s="139"/>
      <c r="BD93" s="139"/>
      <c r="BE93" s="139"/>
      <c r="BF93" s="139">
        <v>144</v>
      </c>
      <c r="BG93" s="139"/>
      <c r="BH93" s="237">
        <f>SUM(BI93:BM93)</f>
        <v>0</v>
      </c>
      <c r="BI93" s="139"/>
      <c r="BJ93" s="139"/>
      <c r="BK93" s="139"/>
      <c r="BL93" s="139"/>
      <c r="BM93" s="139"/>
      <c r="BN93" s="237"/>
      <c r="BO93" s="139"/>
      <c r="BP93" s="139"/>
      <c r="BQ93" s="139"/>
      <c r="BR93" s="139"/>
      <c r="BS93" s="139"/>
      <c r="BT93" s="139"/>
      <c r="BU93" s="139"/>
      <c r="BV93" s="237"/>
      <c r="BW93" s="139"/>
      <c r="BX93" s="139"/>
      <c r="BY93" s="139"/>
      <c r="BZ93" s="139"/>
      <c r="CA93" s="139"/>
      <c r="CB93" s="139"/>
      <c r="CC93" s="139"/>
      <c r="CD93" s="421" t="s">
        <v>479</v>
      </c>
      <c r="CE93" s="499" t="s">
        <v>450</v>
      </c>
    </row>
    <row r="94" spans="1:83" s="150" customFormat="1" ht="26.1" customHeight="1" x14ac:dyDescent="0.2">
      <c r="A94" s="497" t="s">
        <v>195</v>
      </c>
      <c r="B94" s="681" t="s">
        <v>536</v>
      </c>
      <c r="C94" s="681"/>
      <c r="D94" s="271"/>
      <c r="E94" s="271"/>
      <c r="F94" s="271"/>
      <c r="G94" s="271"/>
      <c r="H94" s="271"/>
      <c r="I94" s="493">
        <v>216</v>
      </c>
      <c r="J94" s="493" t="s">
        <v>22</v>
      </c>
      <c r="K94" s="493">
        <f t="shared" ref="K94:BF94" si="158">SUM(K95:K96)</f>
        <v>216</v>
      </c>
      <c r="L94" s="493">
        <f t="shared" si="158"/>
        <v>0</v>
      </c>
      <c r="M94" s="493">
        <f t="shared" si="158"/>
        <v>0</v>
      </c>
      <c r="N94" s="493">
        <f t="shared" si="158"/>
        <v>0</v>
      </c>
      <c r="O94" s="493">
        <f t="shared" si="158"/>
        <v>0</v>
      </c>
      <c r="P94" s="493">
        <f t="shared" si="158"/>
        <v>0</v>
      </c>
      <c r="Q94" s="493">
        <f t="shared" si="158"/>
        <v>216</v>
      </c>
      <c r="R94" s="493">
        <f t="shared" si="158"/>
        <v>0</v>
      </c>
      <c r="S94" s="493">
        <f t="shared" si="158"/>
        <v>0</v>
      </c>
      <c r="T94" s="493">
        <f t="shared" si="158"/>
        <v>0</v>
      </c>
      <c r="U94" s="493">
        <f t="shared" si="158"/>
        <v>0</v>
      </c>
      <c r="V94" s="493">
        <f t="shared" si="158"/>
        <v>0</v>
      </c>
      <c r="W94" s="493">
        <f t="shared" si="158"/>
        <v>0</v>
      </c>
      <c r="X94" s="493">
        <f t="shared" si="158"/>
        <v>0</v>
      </c>
      <c r="Y94" s="493">
        <f t="shared" si="158"/>
        <v>0</v>
      </c>
      <c r="Z94" s="493">
        <f t="shared" si="158"/>
        <v>0</v>
      </c>
      <c r="AA94" s="493">
        <f t="shared" si="158"/>
        <v>0</v>
      </c>
      <c r="AB94" s="493">
        <f t="shared" si="158"/>
        <v>0</v>
      </c>
      <c r="AC94" s="493">
        <f t="shared" si="158"/>
        <v>0</v>
      </c>
      <c r="AD94" s="493">
        <f t="shared" si="158"/>
        <v>0</v>
      </c>
      <c r="AE94" s="493">
        <f t="shared" si="158"/>
        <v>0</v>
      </c>
      <c r="AF94" s="493">
        <f t="shared" si="158"/>
        <v>0</v>
      </c>
      <c r="AG94" s="493">
        <f t="shared" si="158"/>
        <v>0</v>
      </c>
      <c r="AH94" s="493">
        <f t="shared" si="158"/>
        <v>0</v>
      </c>
      <c r="AI94" s="493">
        <f t="shared" si="158"/>
        <v>0</v>
      </c>
      <c r="AJ94" s="493">
        <f t="shared" si="158"/>
        <v>0</v>
      </c>
      <c r="AK94" s="493">
        <f t="shared" si="158"/>
        <v>0</v>
      </c>
      <c r="AL94" s="493">
        <f t="shared" si="158"/>
        <v>0</v>
      </c>
      <c r="AM94" s="493">
        <f t="shared" si="158"/>
        <v>0</v>
      </c>
      <c r="AN94" s="493">
        <f t="shared" si="158"/>
        <v>0</v>
      </c>
      <c r="AO94" s="493">
        <f t="shared" si="158"/>
        <v>0</v>
      </c>
      <c r="AP94" s="493">
        <f t="shared" si="158"/>
        <v>0</v>
      </c>
      <c r="AQ94" s="493">
        <f t="shared" si="158"/>
        <v>0</v>
      </c>
      <c r="AR94" s="493">
        <f t="shared" si="158"/>
        <v>0</v>
      </c>
      <c r="AS94" s="493">
        <f t="shared" si="158"/>
        <v>0</v>
      </c>
      <c r="AT94" s="493">
        <f t="shared" si="158"/>
        <v>0</v>
      </c>
      <c r="AU94" s="493">
        <f t="shared" si="158"/>
        <v>0</v>
      </c>
      <c r="AV94" s="493">
        <f t="shared" si="158"/>
        <v>0</v>
      </c>
      <c r="AW94" s="493">
        <f t="shared" si="158"/>
        <v>0</v>
      </c>
      <c r="AX94" s="493">
        <f t="shared" si="158"/>
        <v>0</v>
      </c>
      <c r="AY94" s="493">
        <f t="shared" si="158"/>
        <v>0</v>
      </c>
      <c r="AZ94" s="493">
        <f t="shared" si="158"/>
        <v>0</v>
      </c>
      <c r="BA94" s="493">
        <f t="shared" si="158"/>
        <v>0</v>
      </c>
      <c r="BB94" s="493">
        <f t="shared" si="158"/>
        <v>0</v>
      </c>
      <c r="BC94" s="493">
        <f t="shared" si="158"/>
        <v>0</v>
      </c>
      <c r="BD94" s="493">
        <f t="shared" si="158"/>
        <v>0</v>
      </c>
      <c r="BE94" s="493">
        <f t="shared" si="158"/>
        <v>0</v>
      </c>
      <c r="BF94" s="493">
        <f t="shared" si="158"/>
        <v>0</v>
      </c>
      <c r="BG94" s="493">
        <f t="shared" ref="BG94:BZ94" si="159">SUM(BG95:BG96)</f>
        <v>0</v>
      </c>
      <c r="BH94" s="493">
        <f t="shared" si="159"/>
        <v>216</v>
      </c>
      <c r="BI94" s="493">
        <f t="shared" si="159"/>
        <v>0</v>
      </c>
      <c r="BJ94" s="493">
        <f t="shared" si="159"/>
        <v>0</v>
      </c>
      <c r="BK94" s="493">
        <f t="shared" si="159"/>
        <v>0</v>
      </c>
      <c r="BL94" s="493">
        <f t="shared" si="159"/>
        <v>0</v>
      </c>
      <c r="BM94" s="493">
        <f t="shared" si="159"/>
        <v>216</v>
      </c>
      <c r="BN94" s="493">
        <f t="shared" si="159"/>
        <v>0</v>
      </c>
      <c r="BO94" s="493">
        <f t="shared" si="159"/>
        <v>0</v>
      </c>
      <c r="BP94" s="493">
        <f t="shared" si="159"/>
        <v>0</v>
      </c>
      <c r="BQ94" s="493">
        <f t="shared" si="159"/>
        <v>0</v>
      </c>
      <c r="BR94" s="493">
        <f t="shared" si="159"/>
        <v>0</v>
      </c>
      <c r="BS94" s="493">
        <f t="shared" si="159"/>
        <v>0</v>
      </c>
      <c r="BT94" s="493">
        <f t="shared" si="159"/>
        <v>0</v>
      </c>
      <c r="BU94" s="493">
        <f t="shared" si="159"/>
        <v>0</v>
      </c>
      <c r="BV94" s="493">
        <f t="shared" si="159"/>
        <v>0</v>
      </c>
      <c r="BW94" s="493">
        <f t="shared" si="159"/>
        <v>0</v>
      </c>
      <c r="BX94" s="493">
        <f t="shared" si="159"/>
        <v>0</v>
      </c>
      <c r="BY94" s="493">
        <f t="shared" si="159"/>
        <v>0</v>
      </c>
      <c r="BZ94" s="493">
        <f t="shared" si="159"/>
        <v>0</v>
      </c>
      <c r="CA94" s="493">
        <f>SUM(CA95:CA96)</f>
        <v>0</v>
      </c>
      <c r="CB94" s="493">
        <f>SUM(CB95:CB96)</f>
        <v>0</v>
      </c>
      <c r="CC94" s="493">
        <f>SUM(CC95:CC96)</f>
        <v>0</v>
      </c>
      <c r="CD94" s="271"/>
      <c r="CE94" s="271"/>
    </row>
    <row r="95" spans="1:83" s="142" customFormat="1" ht="25.5" hidden="1" x14ac:dyDescent="0.2">
      <c r="A95" s="356" t="s">
        <v>196</v>
      </c>
      <c r="B95" s="134" t="s">
        <v>312</v>
      </c>
      <c r="C95" s="134"/>
      <c r="D95" s="135"/>
      <c r="E95" s="135"/>
      <c r="F95" s="135"/>
      <c r="G95" s="135"/>
      <c r="H95" s="172"/>
      <c r="I95" s="136"/>
      <c r="J95" s="137"/>
      <c r="K95" s="286">
        <f>L95+SUM(Q95:Q95)</f>
        <v>216</v>
      </c>
      <c r="L95" s="138">
        <f>SUM(M95:P95)</f>
        <v>0</v>
      </c>
      <c r="M95" s="138">
        <f t="shared" ref="M95:P96" si="160">S95+Y95+AE95+AK95+AQ95+AW95+BC95+BI95+BP95+BX95</f>
        <v>0</v>
      </c>
      <c r="N95" s="138">
        <f t="shared" si="160"/>
        <v>0</v>
      </c>
      <c r="O95" s="138">
        <f t="shared" si="160"/>
        <v>0</v>
      </c>
      <c r="P95" s="138">
        <f t="shared" si="160"/>
        <v>0</v>
      </c>
      <c r="Q95" s="287">
        <f>W95+AC95+AI95+AO95+AU95+BA95+BG95+BM95+BU95+CC95</f>
        <v>216</v>
      </c>
      <c r="R95" s="141">
        <f>SUM(S95:W95)</f>
        <v>0</v>
      </c>
      <c r="S95" s="139"/>
      <c r="T95" s="139"/>
      <c r="U95" s="139"/>
      <c r="V95" s="139"/>
      <c r="W95" s="137"/>
      <c r="X95" s="156">
        <f>SUM(Y95:AC95)</f>
        <v>0</v>
      </c>
      <c r="Y95" s="139"/>
      <c r="Z95" s="139"/>
      <c r="AA95" s="139"/>
      <c r="AB95" s="139"/>
      <c r="AC95" s="140"/>
      <c r="AD95" s="141">
        <f>SUM(AE95:AI95)</f>
        <v>0</v>
      </c>
      <c r="AE95" s="139"/>
      <c r="AF95" s="139"/>
      <c r="AG95" s="139"/>
      <c r="AH95" s="139"/>
      <c r="AI95" s="137"/>
      <c r="AJ95" s="141">
        <f>SUM(AK95:AO95)</f>
        <v>0</v>
      </c>
      <c r="AK95" s="139"/>
      <c r="AL95" s="139"/>
      <c r="AM95" s="139"/>
      <c r="AN95" s="139"/>
      <c r="AO95" s="137"/>
      <c r="AP95" s="141">
        <f>SUM(AQ95:AU95)</f>
        <v>0</v>
      </c>
      <c r="AQ95" s="139"/>
      <c r="AR95" s="139"/>
      <c r="AS95" s="139"/>
      <c r="AT95" s="139"/>
      <c r="AU95" s="137"/>
      <c r="AV95" s="141">
        <f>SUM(AW95:BA95)</f>
        <v>0</v>
      </c>
      <c r="AW95" s="139"/>
      <c r="AX95" s="139"/>
      <c r="AY95" s="139"/>
      <c r="AZ95" s="139"/>
      <c r="BA95" s="137"/>
      <c r="BB95" s="141">
        <f>SUM(BC95:BG95)</f>
        <v>0</v>
      </c>
      <c r="BC95" s="139"/>
      <c r="BD95" s="139"/>
      <c r="BE95" s="139"/>
      <c r="BF95" s="139"/>
      <c r="BG95" s="137"/>
      <c r="BH95" s="141">
        <f>SUM(BI95:BM95)</f>
        <v>216</v>
      </c>
      <c r="BI95" s="139"/>
      <c r="BJ95" s="139"/>
      <c r="BK95" s="139"/>
      <c r="BL95" s="139"/>
      <c r="BM95" s="137">
        <v>216</v>
      </c>
      <c r="BN95" s="156">
        <f>SUM(BO95:BU95)</f>
        <v>0</v>
      </c>
      <c r="BO95" s="139"/>
      <c r="BP95" s="139"/>
      <c r="BQ95" s="139"/>
      <c r="BR95" s="139"/>
      <c r="BS95" s="139"/>
      <c r="BT95" s="139"/>
      <c r="BU95" s="139"/>
      <c r="BV95" s="237">
        <f>SUM(BW95:CC95)</f>
        <v>0</v>
      </c>
      <c r="BW95" s="139"/>
      <c r="BX95" s="139"/>
      <c r="BY95" s="139"/>
      <c r="BZ95" s="139"/>
      <c r="CA95" s="139"/>
      <c r="CB95" s="139"/>
      <c r="CC95" s="140"/>
      <c r="CD95" s="356" t="s">
        <v>481</v>
      </c>
      <c r="CE95" s="361" t="s">
        <v>450</v>
      </c>
    </row>
    <row r="96" spans="1:83" s="142" customFormat="1" ht="25.5" hidden="1" x14ac:dyDescent="0.2">
      <c r="A96" s="356" t="s">
        <v>197</v>
      </c>
      <c r="B96" s="134" t="s">
        <v>313</v>
      </c>
      <c r="C96" s="134"/>
      <c r="D96" s="280"/>
      <c r="E96" s="135"/>
      <c r="F96" s="135"/>
      <c r="G96" s="135"/>
      <c r="H96" s="172"/>
      <c r="I96" s="136"/>
      <c r="J96" s="137"/>
      <c r="K96" s="286">
        <f>L96+SUM(Q96:Q96)</f>
        <v>0</v>
      </c>
      <c r="L96" s="138">
        <f>SUM(M96:P96)</f>
        <v>0</v>
      </c>
      <c r="M96" s="138">
        <f t="shared" si="160"/>
        <v>0</v>
      </c>
      <c r="N96" s="138">
        <f t="shared" si="160"/>
        <v>0</v>
      </c>
      <c r="O96" s="138">
        <f t="shared" si="160"/>
        <v>0</v>
      </c>
      <c r="P96" s="138">
        <f t="shared" si="160"/>
        <v>0</v>
      </c>
      <c r="Q96" s="287">
        <f>W96+AC96+AI96+AO96+AU96+BA96+BG96+BM96+BU96+CC96</f>
        <v>0</v>
      </c>
      <c r="R96" s="141"/>
      <c r="S96" s="139"/>
      <c r="T96" s="139"/>
      <c r="U96" s="139"/>
      <c r="V96" s="139"/>
      <c r="W96" s="137"/>
      <c r="X96" s="156">
        <f>SUM(Y96:AC96)</f>
        <v>0</v>
      </c>
      <c r="Y96" s="139"/>
      <c r="Z96" s="139"/>
      <c r="AA96" s="139"/>
      <c r="AB96" s="139"/>
      <c r="AC96" s="140"/>
      <c r="AD96" s="141">
        <f>SUM(AE96:AI96)</f>
        <v>0</v>
      </c>
      <c r="AE96" s="139"/>
      <c r="AF96" s="139"/>
      <c r="AG96" s="139"/>
      <c r="AH96" s="139"/>
      <c r="AI96" s="137"/>
      <c r="AJ96" s="141">
        <f>SUM(AK96:AO96)</f>
        <v>0</v>
      </c>
      <c r="AK96" s="139"/>
      <c r="AL96" s="139"/>
      <c r="AM96" s="139"/>
      <c r="AN96" s="139"/>
      <c r="AO96" s="137"/>
      <c r="AP96" s="141">
        <f>SUM(AQ96:AU96)</f>
        <v>0</v>
      </c>
      <c r="AQ96" s="139"/>
      <c r="AR96" s="139"/>
      <c r="AS96" s="139"/>
      <c r="AT96" s="139"/>
      <c r="AU96" s="137"/>
      <c r="AV96" s="141">
        <f>SUM(AW96:BA96)</f>
        <v>0</v>
      </c>
      <c r="AW96" s="139"/>
      <c r="AX96" s="139"/>
      <c r="AY96" s="139"/>
      <c r="AZ96" s="139"/>
      <c r="BA96" s="137"/>
      <c r="BB96" s="141">
        <f>SUM(BC96:BG96)</f>
        <v>0</v>
      </c>
      <c r="BC96" s="139"/>
      <c r="BD96" s="139"/>
      <c r="BE96" s="139"/>
      <c r="BF96" s="139"/>
      <c r="BG96" s="137"/>
      <c r="BH96" s="141">
        <f>SUM(BI96:BM96)</f>
        <v>0</v>
      </c>
      <c r="BI96" s="139"/>
      <c r="BJ96" s="139"/>
      <c r="BK96" s="139"/>
      <c r="BL96" s="139"/>
      <c r="BM96" s="137"/>
      <c r="BN96" s="156">
        <f>SUM(BO96:BU96)</f>
        <v>0</v>
      </c>
      <c r="BO96" s="139"/>
      <c r="BP96" s="139"/>
      <c r="BQ96" s="139"/>
      <c r="BR96" s="139"/>
      <c r="BS96" s="139"/>
      <c r="BT96" s="139"/>
      <c r="BU96" s="139"/>
      <c r="BV96" s="237">
        <f>SUM(BW96:CC96)</f>
        <v>0</v>
      </c>
      <c r="BW96" s="139"/>
      <c r="BX96" s="139"/>
      <c r="BY96" s="139"/>
      <c r="BZ96" s="139"/>
      <c r="CA96" s="139"/>
      <c r="CB96" s="139"/>
      <c r="CC96" s="140"/>
      <c r="CD96" s="356" t="s">
        <v>481</v>
      </c>
      <c r="CE96" s="361" t="s">
        <v>450</v>
      </c>
    </row>
    <row r="97" spans="1:83" s="150" customFormat="1" hidden="1" x14ac:dyDescent="0.2">
      <c r="A97" s="290"/>
      <c r="B97" s="417" t="s">
        <v>174</v>
      </c>
      <c r="C97" s="420"/>
      <c r="D97" s="279"/>
      <c r="E97" s="279"/>
      <c r="F97" s="279"/>
      <c r="G97" s="279"/>
      <c r="H97" s="282"/>
      <c r="I97" s="283"/>
      <c r="J97" s="284" t="s">
        <v>22</v>
      </c>
      <c r="K97" s="283">
        <f>SUM(L97:Q97)</f>
        <v>0</v>
      </c>
      <c r="L97" s="272"/>
      <c r="M97" s="272"/>
      <c r="N97" s="272"/>
      <c r="O97" s="272"/>
      <c r="P97" s="272"/>
      <c r="Q97" s="284"/>
      <c r="R97" s="283">
        <f>SUM(S97:W97)</f>
        <v>0</v>
      </c>
      <c r="S97" s="272"/>
      <c r="T97" s="272"/>
      <c r="U97" s="272"/>
      <c r="V97" s="272"/>
      <c r="W97" s="284"/>
      <c r="X97" s="281">
        <f>SUM(Y97:AC97)</f>
        <v>0</v>
      </c>
      <c r="Y97" s="272"/>
      <c r="Z97" s="272"/>
      <c r="AA97" s="272"/>
      <c r="AB97" s="272"/>
      <c r="AC97" s="288"/>
      <c r="AD97" s="283">
        <f>SUM(AE97:AI97)</f>
        <v>0</v>
      </c>
      <c r="AE97" s="272"/>
      <c r="AF97" s="272"/>
      <c r="AG97" s="272"/>
      <c r="AH97" s="272"/>
      <c r="AI97" s="284"/>
      <c r="AJ97" s="283">
        <f>SUM(AK97:AO97)</f>
        <v>0</v>
      </c>
      <c r="AK97" s="272"/>
      <c r="AL97" s="272"/>
      <c r="AM97" s="272"/>
      <c r="AN97" s="272"/>
      <c r="AO97" s="284"/>
      <c r="AP97" s="283">
        <f>SUM(AQ97:AU97)</f>
        <v>0</v>
      </c>
      <c r="AQ97" s="272"/>
      <c r="AR97" s="272"/>
      <c r="AS97" s="272"/>
      <c r="AT97" s="272"/>
      <c r="AU97" s="284"/>
      <c r="AV97" s="283">
        <f>SUM(AW97:BA97)</f>
        <v>0</v>
      </c>
      <c r="AW97" s="272"/>
      <c r="AX97" s="272"/>
      <c r="AY97" s="272"/>
      <c r="AZ97" s="272"/>
      <c r="BA97" s="284"/>
      <c r="BB97" s="283">
        <f>SUM(BC97:BG97)</f>
        <v>0</v>
      </c>
      <c r="BC97" s="272"/>
      <c r="BD97" s="272"/>
      <c r="BE97" s="272"/>
      <c r="BF97" s="272"/>
      <c r="BG97" s="284"/>
      <c r="BH97" s="283">
        <f>SUM(BI97:BM97)</f>
        <v>0</v>
      </c>
      <c r="BI97" s="272"/>
      <c r="BJ97" s="272"/>
      <c r="BK97" s="272"/>
      <c r="BL97" s="272"/>
      <c r="BM97" s="284"/>
      <c r="BN97" s="281">
        <f>SUM(BO97:BU97)</f>
        <v>0</v>
      </c>
      <c r="BO97" s="272"/>
      <c r="BP97" s="272"/>
      <c r="BQ97" s="272"/>
      <c r="BR97" s="272"/>
      <c r="BS97" s="272"/>
      <c r="BT97" s="272">
        <f>BT11+BT28+BT76+BT83+BT91+BT94</f>
        <v>0</v>
      </c>
      <c r="BU97" s="272"/>
      <c r="BV97" s="272">
        <f>SUM(BW97:CC97)</f>
        <v>0</v>
      </c>
      <c r="BW97" s="272"/>
      <c r="BX97" s="272"/>
      <c r="BY97" s="272"/>
      <c r="BZ97" s="272"/>
      <c r="CA97" s="272"/>
      <c r="CB97" s="272">
        <f>CB11+CB28+CB76+CB83+CB91+CB94</f>
        <v>0</v>
      </c>
      <c r="CC97" s="288"/>
      <c r="CD97" s="290"/>
      <c r="CE97" s="282"/>
    </row>
    <row r="98" spans="1:83" s="123" customFormat="1" ht="26.25" hidden="1" customHeight="1" x14ac:dyDescent="0.2">
      <c r="A98" s="465"/>
      <c r="B98" s="363"/>
      <c r="C98" s="363"/>
      <c r="D98" s="364"/>
      <c r="E98" s="364"/>
      <c r="F98" s="364"/>
      <c r="G98" s="364"/>
      <c r="H98" s="364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365"/>
      <c r="AN98" s="365"/>
      <c r="AO98" s="365"/>
      <c r="AP98" s="365"/>
      <c r="AQ98" s="365"/>
      <c r="AR98" s="365"/>
      <c r="AS98" s="365"/>
      <c r="AT98" s="365"/>
      <c r="AU98" s="365"/>
      <c r="AV98" s="365"/>
      <c r="AW98" s="365"/>
      <c r="AX98" s="365"/>
      <c r="AY98" s="365"/>
      <c r="AZ98" s="365"/>
      <c r="BA98" s="365"/>
      <c r="BB98" s="365"/>
      <c r="BC98" s="365"/>
      <c r="BD98" s="365"/>
      <c r="BE98" s="365"/>
      <c r="BF98" s="365"/>
      <c r="BG98" s="365"/>
      <c r="BH98" s="365"/>
      <c r="BI98" s="365"/>
      <c r="BJ98" s="365"/>
      <c r="BK98" s="365"/>
      <c r="BL98" s="365"/>
      <c r="BM98" s="365"/>
      <c r="BN98" s="365"/>
      <c r="BO98" s="365"/>
      <c r="BP98" s="365"/>
      <c r="BQ98" s="365"/>
      <c r="BR98" s="365"/>
      <c r="BS98" s="365"/>
      <c r="BT98" s="365"/>
      <c r="BU98" s="365"/>
      <c r="BV98" s="365"/>
      <c r="BW98" s="365"/>
      <c r="BX98" s="365"/>
      <c r="BY98" s="365"/>
      <c r="BZ98" s="365"/>
      <c r="CA98" s="365"/>
      <c r="CB98" s="365"/>
      <c r="CC98" s="365"/>
      <c r="CD98" s="366"/>
      <c r="CE98" s="366"/>
    </row>
    <row r="99" spans="1:83" s="123" customFormat="1" ht="27.75" hidden="1" customHeight="1" x14ac:dyDescent="0.2">
      <c r="A99" s="682" t="str">
        <f>'Титульный лист (очная)'!A11:N11</f>
        <v>Специфика:</v>
      </c>
      <c r="B99" s="683"/>
      <c r="C99" s="683"/>
      <c r="D99" s="367"/>
      <c r="E99" s="367"/>
      <c r="F99" s="367"/>
      <c r="G99" s="367"/>
      <c r="H99" s="367"/>
      <c r="I99" s="368"/>
      <c r="J99" s="368"/>
      <c r="K99" s="367"/>
      <c r="L99" s="367"/>
      <c r="M99" s="367"/>
      <c r="N99" s="367"/>
      <c r="O99" s="367"/>
      <c r="P99" s="367"/>
      <c r="Q99" s="367"/>
      <c r="R99" s="368"/>
      <c r="S99" s="369"/>
      <c r="T99" s="369"/>
      <c r="U99" s="369"/>
      <c r="V99" s="369"/>
      <c r="W99" s="369"/>
      <c r="X99" s="368"/>
      <c r="Y99" s="369"/>
      <c r="Z99" s="369"/>
      <c r="AA99" s="369"/>
      <c r="AB99" s="369"/>
      <c r="AC99" s="369"/>
      <c r="AD99" s="368"/>
      <c r="AE99" s="369"/>
      <c r="AF99" s="369"/>
      <c r="AG99" s="369"/>
      <c r="AH99" s="369"/>
      <c r="AI99" s="369"/>
      <c r="AJ99" s="368"/>
      <c r="AK99" s="369"/>
      <c r="AL99" s="369"/>
      <c r="AM99" s="369"/>
      <c r="AN99" s="369"/>
      <c r="AO99" s="369"/>
      <c r="AP99" s="368"/>
      <c r="AQ99" s="369"/>
      <c r="AR99" s="369"/>
      <c r="AS99" s="369"/>
      <c r="AT99" s="369"/>
      <c r="AU99" s="369"/>
      <c r="AV99" s="368"/>
      <c r="AW99" s="369"/>
      <c r="AX99" s="369"/>
      <c r="AY99" s="369"/>
      <c r="AZ99" s="369"/>
      <c r="BA99" s="369"/>
      <c r="BB99" s="368"/>
      <c r="BC99" s="369"/>
      <c r="BD99" s="369"/>
      <c r="BE99" s="369"/>
      <c r="BF99" s="369"/>
      <c r="BG99" s="369"/>
      <c r="BH99" s="368"/>
      <c r="BI99" s="369"/>
      <c r="BJ99" s="369"/>
      <c r="BK99" s="369"/>
      <c r="BL99" s="369"/>
      <c r="BM99" s="369"/>
      <c r="BN99" s="368"/>
      <c r="BO99" s="369"/>
      <c r="BP99" s="369"/>
      <c r="BQ99" s="369"/>
      <c r="BR99" s="369"/>
      <c r="BS99" s="369"/>
      <c r="BT99" s="369"/>
      <c r="BU99" s="369"/>
      <c r="BV99" s="368"/>
      <c r="BW99" s="369"/>
      <c r="BX99" s="369"/>
      <c r="BY99" s="369"/>
      <c r="BZ99" s="369"/>
      <c r="CA99" s="369"/>
      <c r="CB99" s="369"/>
      <c r="CC99" s="369"/>
      <c r="CD99" s="366"/>
      <c r="CE99" s="366"/>
    </row>
    <row r="100" spans="1:83" s="123" customFormat="1" ht="27.75" hidden="1" customHeight="1" x14ac:dyDescent="0.2">
      <c r="A100" s="684">
        <f>'Титульный лист (очная)'!O11:O11</f>
        <v>0</v>
      </c>
      <c r="B100" s="685"/>
      <c r="C100" s="685"/>
      <c r="D100" s="370"/>
      <c r="E100" s="370"/>
      <c r="F100" s="370"/>
      <c r="G100" s="370"/>
      <c r="H100" s="370"/>
      <c r="I100" s="371"/>
      <c r="J100" s="371"/>
      <c r="K100" s="370"/>
      <c r="L100" s="370"/>
      <c r="M100" s="370"/>
      <c r="N100" s="370"/>
      <c r="O100" s="370"/>
      <c r="P100" s="370"/>
      <c r="Q100" s="370"/>
      <c r="R100" s="372"/>
      <c r="S100" s="373"/>
      <c r="T100" s="373"/>
      <c r="U100" s="373"/>
      <c r="V100" s="373"/>
      <c r="W100" s="373"/>
      <c r="X100" s="372"/>
      <c r="Y100" s="373"/>
      <c r="Z100" s="373"/>
      <c r="AA100" s="373"/>
      <c r="AB100" s="373"/>
      <c r="AC100" s="373"/>
      <c r="AD100" s="372"/>
      <c r="AE100" s="373"/>
      <c r="AF100" s="373"/>
      <c r="AG100" s="373"/>
      <c r="AH100" s="373"/>
      <c r="AI100" s="373"/>
      <c r="AJ100" s="372"/>
      <c r="AK100" s="373"/>
      <c r="AL100" s="373"/>
      <c r="AM100" s="373"/>
      <c r="AN100" s="373"/>
      <c r="AO100" s="373"/>
      <c r="AP100" s="372"/>
      <c r="AQ100" s="373"/>
      <c r="AR100" s="373"/>
      <c r="AS100" s="373"/>
      <c r="AT100" s="373"/>
      <c r="AU100" s="373"/>
      <c r="AV100" s="372"/>
      <c r="AW100" s="373"/>
      <c r="AX100" s="373"/>
      <c r="AY100" s="373"/>
      <c r="AZ100" s="373"/>
      <c r="BA100" s="373"/>
      <c r="BB100" s="372"/>
      <c r="BC100" s="373"/>
      <c r="BD100" s="373"/>
      <c r="BE100" s="373"/>
      <c r="BF100" s="373"/>
      <c r="BG100" s="373"/>
      <c r="BH100" s="372"/>
      <c r="BI100" s="373"/>
      <c r="BJ100" s="373"/>
      <c r="BK100" s="373"/>
      <c r="BL100" s="373"/>
      <c r="BM100" s="373"/>
      <c r="BN100" s="371"/>
      <c r="BO100" s="374"/>
      <c r="BP100" s="374"/>
      <c r="BQ100" s="374"/>
      <c r="BR100" s="374"/>
      <c r="BS100" s="374"/>
      <c r="BT100" s="374"/>
      <c r="BU100" s="374"/>
      <c r="BV100" s="371"/>
      <c r="BW100" s="374"/>
      <c r="BX100" s="374"/>
      <c r="BY100" s="374"/>
      <c r="BZ100" s="374"/>
      <c r="CA100" s="374"/>
      <c r="CB100" s="374"/>
      <c r="CC100" s="374"/>
      <c r="CD100" s="366"/>
      <c r="CE100" s="366"/>
    </row>
    <row r="101" spans="1:83" s="123" customFormat="1" x14ac:dyDescent="0.2">
      <c r="A101" s="466"/>
      <c r="B101" s="699" t="s">
        <v>547</v>
      </c>
      <c r="C101" s="700"/>
      <c r="D101" s="700"/>
      <c r="E101" s="700"/>
      <c r="F101" s="700"/>
      <c r="G101" s="700"/>
      <c r="H101" s="701"/>
      <c r="I101" s="151">
        <f t="shared" ref="I101:Q101" si="161">I11+I28+I76</f>
        <v>6318</v>
      </c>
      <c r="J101" s="151">
        <f t="shared" si="161"/>
        <v>4212</v>
      </c>
      <c r="K101" s="152">
        <f t="shared" si="161"/>
        <v>5778</v>
      </c>
      <c r="L101" s="152">
        <f t="shared" si="161"/>
        <v>3852</v>
      </c>
      <c r="M101" s="152">
        <f t="shared" si="161"/>
        <v>2902</v>
      </c>
      <c r="N101" s="152">
        <f t="shared" si="161"/>
        <v>896</v>
      </c>
      <c r="O101" s="152">
        <f t="shared" si="161"/>
        <v>54</v>
      </c>
      <c r="P101" s="152">
        <f t="shared" si="161"/>
        <v>0</v>
      </c>
      <c r="Q101" s="161">
        <f t="shared" si="161"/>
        <v>1926</v>
      </c>
      <c r="R101" s="375">
        <f>SUM(S101:W101)</f>
        <v>918</v>
      </c>
      <c r="S101" s="376">
        <f>S11+S28+S76</f>
        <v>527</v>
      </c>
      <c r="T101" s="376">
        <f>T11+T28+T76</f>
        <v>85</v>
      </c>
      <c r="U101" s="376">
        <f>U11+U28+U76</f>
        <v>0</v>
      </c>
      <c r="V101" s="376">
        <f>V11+V28+V76</f>
        <v>0</v>
      </c>
      <c r="W101" s="377">
        <f>W11+W28+W76</f>
        <v>306</v>
      </c>
      <c r="X101" s="378">
        <f>SUM(Y101:AC101)</f>
        <v>1188</v>
      </c>
      <c r="Y101" s="376">
        <f>Y11+Y28+Y76</f>
        <v>671</v>
      </c>
      <c r="Z101" s="376">
        <f>Z11+Z28+Z76</f>
        <v>121</v>
      </c>
      <c r="AA101" s="376">
        <f>AA11+AA28+AA76</f>
        <v>0</v>
      </c>
      <c r="AB101" s="376">
        <f>AB11+AB28+AB76</f>
        <v>0</v>
      </c>
      <c r="AC101" s="376">
        <f>AC11+AC28+AC76</f>
        <v>396</v>
      </c>
      <c r="AD101" s="379">
        <f>SUM(AE101:AI101)</f>
        <v>864</v>
      </c>
      <c r="AE101" s="376">
        <f>AE11+AE28+AE76</f>
        <v>468</v>
      </c>
      <c r="AF101" s="376">
        <f>AF11+AF28+AF76</f>
        <v>108</v>
      </c>
      <c r="AG101" s="376">
        <f>AG11+AG28+AG76</f>
        <v>0</v>
      </c>
      <c r="AH101" s="376">
        <f>AH11+AH28+AH76</f>
        <v>0</v>
      </c>
      <c r="AI101" s="377">
        <f>AI11+AI28+AI76</f>
        <v>288</v>
      </c>
      <c r="AJ101" s="378">
        <f>SUM(AK101:AO101)</f>
        <v>756</v>
      </c>
      <c r="AK101" s="376">
        <f>AK11+AK28+AK76</f>
        <v>302</v>
      </c>
      <c r="AL101" s="376">
        <f>AL11+AL28+AL76</f>
        <v>202</v>
      </c>
      <c r="AM101" s="376">
        <f>AM11+AM28+AM76</f>
        <v>0</v>
      </c>
      <c r="AN101" s="376">
        <f>AN11+AN28+AN76</f>
        <v>0</v>
      </c>
      <c r="AO101" s="376">
        <f>AO11+AO28+AO76</f>
        <v>252</v>
      </c>
      <c r="AP101" s="379">
        <f>SUM(AQ101:AU101)</f>
        <v>648</v>
      </c>
      <c r="AQ101" s="376">
        <f>AQ11+AQ28+AQ76</f>
        <v>316</v>
      </c>
      <c r="AR101" s="376">
        <f>AR11+AR28+AR76</f>
        <v>92</v>
      </c>
      <c r="AS101" s="376">
        <f>AS11+AS28+AS76</f>
        <v>24</v>
      </c>
      <c r="AT101" s="376">
        <f>AT11+AT28+AT76</f>
        <v>0</v>
      </c>
      <c r="AU101" s="377">
        <f>AU11+AU28+AU76</f>
        <v>216</v>
      </c>
      <c r="AV101" s="378">
        <f>SUM(AW101:BA101)</f>
        <v>378</v>
      </c>
      <c r="AW101" s="376">
        <f>AW11+AW28+AW76</f>
        <v>178</v>
      </c>
      <c r="AX101" s="376">
        <f>AX11+AX28+AX76</f>
        <v>74</v>
      </c>
      <c r="AY101" s="376">
        <f>AY11+AY28+AY76</f>
        <v>0</v>
      </c>
      <c r="AZ101" s="376">
        <f>AZ11+AZ28+AZ76</f>
        <v>0</v>
      </c>
      <c r="BA101" s="376">
        <f>BA11+BA28+BA76</f>
        <v>126</v>
      </c>
      <c r="BB101" s="379">
        <f>SUM(BC101:BG101)</f>
        <v>0</v>
      </c>
      <c r="BC101" s="376">
        <f>BC11+BC28+BC76</f>
        <v>0</v>
      </c>
      <c r="BD101" s="376">
        <f>BD11+BD28+BD76</f>
        <v>0</v>
      </c>
      <c r="BE101" s="376">
        <f>BE11+BE28+BE76</f>
        <v>0</v>
      </c>
      <c r="BF101" s="376">
        <f>BF11+BF28+BF76</f>
        <v>0</v>
      </c>
      <c r="BG101" s="377">
        <f>BG11+BG28+BG76</f>
        <v>0</v>
      </c>
      <c r="BH101" s="378">
        <f>SUM(BI101:BM101)</f>
        <v>1026</v>
      </c>
      <c r="BI101" s="376">
        <f>BI11+BI28+BI76</f>
        <v>440</v>
      </c>
      <c r="BJ101" s="376">
        <f>BJ11+BJ28+BJ76</f>
        <v>214</v>
      </c>
      <c r="BK101" s="376">
        <f>BK11+BK28+BK76</f>
        <v>30</v>
      </c>
      <c r="BL101" s="376">
        <f>BL11+BL28+BL76</f>
        <v>0</v>
      </c>
      <c r="BM101" s="376">
        <f>BM11+BM28+BM76</f>
        <v>342</v>
      </c>
      <c r="BN101" s="379">
        <f>SUM(BO101:BU101)</f>
        <v>0</v>
      </c>
      <c r="BO101" s="376">
        <f t="shared" ref="BO101:BU101" si="162">BO11+BO28+BO76</f>
        <v>0</v>
      </c>
      <c r="BP101" s="376">
        <f t="shared" si="162"/>
        <v>0</v>
      </c>
      <c r="BQ101" s="376">
        <f t="shared" si="162"/>
        <v>0</v>
      </c>
      <c r="BR101" s="376">
        <f t="shared" si="162"/>
        <v>0</v>
      </c>
      <c r="BS101" s="376">
        <f t="shared" si="162"/>
        <v>0</v>
      </c>
      <c r="BT101" s="376">
        <f t="shared" si="162"/>
        <v>0</v>
      </c>
      <c r="BU101" s="376">
        <f t="shared" si="162"/>
        <v>0</v>
      </c>
      <c r="BV101" s="380">
        <f>SUM(BW101:CC101)</f>
        <v>0</v>
      </c>
      <c r="BW101" s="376">
        <f t="shared" ref="BW101:CC101" si="163">BW11+BW28+BW76</f>
        <v>0</v>
      </c>
      <c r="BX101" s="376">
        <f t="shared" si="163"/>
        <v>0</v>
      </c>
      <c r="BY101" s="376">
        <f t="shared" si="163"/>
        <v>0</v>
      </c>
      <c r="BZ101" s="376">
        <f t="shared" si="163"/>
        <v>0</v>
      </c>
      <c r="CA101" s="376">
        <f t="shared" si="163"/>
        <v>0</v>
      </c>
      <c r="CB101" s="376">
        <f t="shared" si="163"/>
        <v>0</v>
      </c>
      <c r="CC101" s="381">
        <f t="shared" si="163"/>
        <v>0</v>
      </c>
      <c r="CD101" s="366"/>
      <c r="CE101" s="366"/>
    </row>
    <row r="102" spans="1:83" s="123" customFormat="1" x14ac:dyDescent="0.2">
      <c r="A102" s="466"/>
      <c r="B102" s="699" t="s">
        <v>226</v>
      </c>
      <c r="C102" s="700"/>
      <c r="D102" s="700"/>
      <c r="E102" s="700"/>
      <c r="F102" s="700"/>
      <c r="G102" s="700"/>
      <c r="H102" s="701"/>
      <c r="I102" s="151">
        <f>I83+I91</f>
        <v>0</v>
      </c>
      <c r="J102" s="151">
        <v>1512</v>
      </c>
      <c r="K102" s="152">
        <f t="shared" ref="K102:Q102" si="164">K83+K91</f>
        <v>1872</v>
      </c>
      <c r="L102" s="152">
        <f t="shared" si="164"/>
        <v>1872</v>
      </c>
      <c r="M102" s="152">
        <f t="shared" si="164"/>
        <v>0</v>
      </c>
      <c r="N102" s="152">
        <f t="shared" si="164"/>
        <v>0</v>
      </c>
      <c r="O102" s="152">
        <f t="shared" si="164"/>
        <v>0</v>
      </c>
      <c r="P102" s="152">
        <f t="shared" si="164"/>
        <v>1872</v>
      </c>
      <c r="Q102" s="162">
        <f t="shared" si="164"/>
        <v>0</v>
      </c>
      <c r="R102" s="375">
        <f>SUM(S102:W102)</f>
        <v>0</v>
      </c>
      <c r="S102" s="376">
        <f t="shared" ref="S102:W102" si="165">S83+S91</f>
        <v>0</v>
      </c>
      <c r="T102" s="376">
        <f t="shared" si="165"/>
        <v>0</v>
      </c>
      <c r="U102" s="376">
        <f t="shared" si="165"/>
        <v>0</v>
      </c>
      <c r="V102" s="376">
        <f t="shared" si="165"/>
        <v>0</v>
      </c>
      <c r="W102" s="382">
        <f t="shared" si="165"/>
        <v>0</v>
      </c>
      <c r="X102" s="378">
        <f>SUM(Y102:AC102)</f>
        <v>0</v>
      </c>
      <c r="Y102" s="376">
        <f t="shared" ref="Y102:AC102" si="166">Y83+Y91</f>
        <v>0</v>
      </c>
      <c r="Z102" s="376">
        <f t="shared" si="166"/>
        <v>0</v>
      </c>
      <c r="AA102" s="376">
        <f t="shared" si="166"/>
        <v>0</v>
      </c>
      <c r="AB102" s="376">
        <f t="shared" si="166"/>
        <v>0</v>
      </c>
      <c r="AC102" s="385">
        <f t="shared" si="166"/>
        <v>0</v>
      </c>
      <c r="AD102" s="379">
        <f>SUM(AE102:AI102)</f>
        <v>0</v>
      </c>
      <c r="AE102" s="376">
        <f t="shared" ref="AE102:AI102" si="167">AE83+AE91</f>
        <v>0</v>
      </c>
      <c r="AF102" s="376">
        <f t="shared" si="167"/>
        <v>0</v>
      </c>
      <c r="AG102" s="376">
        <f t="shared" si="167"/>
        <v>0</v>
      </c>
      <c r="AH102" s="376">
        <f t="shared" si="167"/>
        <v>0</v>
      </c>
      <c r="AI102" s="382">
        <f t="shared" si="167"/>
        <v>0</v>
      </c>
      <c r="AJ102" s="378">
        <f>SUM(AK102:AO102)</f>
        <v>432</v>
      </c>
      <c r="AK102" s="376">
        <f t="shared" ref="AK102:AO102" si="168">AK83+AK91</f>
        <v>0</v>
      </c>
      <c r="AL102" s="376">
        <f t="shared" si="168"/>
        <v>0</v>
      </c>
      <c r="AM102" s="376">
        <f t="shared" si="168"/>
        <v>0</v>
      </c>
      <c r="AN102" s="376">
        <f t="shared" si="168"/>
        <v>432</v>
      </c>
      <c r="AO102" s="385">
        <f t="shared" si="168"/>
        <v>0</v>
      </c>
      <c r="AP102" s="379">
        <f>SUM(AQ102:AU102)</f>
        <v>144</v>
      </c>
      <c r="AQ102" s="376">
        <f t="shared" ref="AQ102:AU102" si="169">AQ83+AQ91</f>
        <v>0</v>
      </c>
      <c r="AR102" s="376">
        <f t="shared" si="169"/>
        <v>0</v>
      </c>
      <c r="AS102" s="376">
        <f t="shared" si="169"/>
        <v>0</v>
      </c>
      <c r="AT102" s="376">
        <f t="shared" si="169"/>
        <v>144</v>
      </c>
      <c r="AU102" s="382">
        <f t="shared" si="169"/>
        <v>0</v>
      </c>
      <c r="AV102" s="378">
        <f>SUM(AW102:BA102)</f>
        <v>684</v>
      </c>
      <c r="AW102" s="376">
        <f t="shared" ref="AW102:BA102" si="170">AW83+AW91</f>
        <v>0</v>
      </c>
      <c r="AX102" s="376">
        <f t="shared" si="170"/>
        <v>0</v>
      </c>
      <c r="AY102" s="376">
        <f t="shared" si="170"/>
        <v>0</v>
      </c>
      <c r="AZ102" s="376">
        <f t="shared" si="170"/>
        <v>684</v>
      </c>
      <c r="BA102" s="385">
        <f t="shared" si="170"/>
        <v>0</v>
      </c>
      <c r="BB102" s="379">
        <f>SUM(BC102:BG102)</f>
        <v>612</v>
      </c>
      <c r="BC102" s="376">
        <f t="shared" ref="BC102:BG102" si="171">BC83+BC91</f>
        <v>0</v>
      </c>
      <c r="BD102" s="376">
        <f t="shared" si="171"/>
        <v>0</v>
      </c>
      <c r="BE102" s="376">
        <f t="shared" si="171"/>
        <v>0</v>
      </c>
      <c r="BF102" s="376">
        <f t="shared" si="171"/>
        <v>612</v>
      </c>
      <c r="BG102" s="382">
        <f t="shared" si="171"/>
        <v>0</v>
      </c>
      <c r="BH102" s="378">
        <f>SUM(BI102:BM102)</f>
        <v>0</v>
      </c>
      <c r="BI102" s="376">
        <f t="shared" ref="BI102:BM102" si="172">BI83+BI91</f>
        <v>0</v>
      </c>
      <c r="BJ102" s="376">
        <f t="shared" si="172"/>
        <v>0</v>
      </c>
      <c r="BK102" s="376">
        <f t="shared" si="172"/>
        <v>0</v>
      </c>
      <c r="BL102" s="376">
        <f t="shared" si="172"/>
        <v>0</v>
      </c>
      <c r="BM102" s="385">
        <f t="shared" si="172"/>
        <v>0</v>
      </c>
      <c r="BN102" s="379">
        <f>SUM(BO102:BU102)</f>
        <v>0</v>
      </c>
      <c r="BO102" s="376">
        <f t="shared" ref="BO102:BU102" si="173">BO83+BO91</f>
        <v>0</v>
      </c>
      <c r="BP102" s="376">
        <f t="shared" si="173"/>
        <v>0</v>
      </c>
      <c r="BQ102" s="376">
        <f t="shared" si="173"/>
        <v>0</v>
      </c>
      <c r="BR102" s="376">
        <f t="shared" si="173"/>
        <v>0</v>
      </c>
      <c r="BS102" s="376">
        <f t="shared" si="173"/>
        <v>0</v>
      </c>
      <c r="BT102" s="376">
        <f t="shared" si="173"/>
        <v>0</v>
      </c>
      <c r="BU102" s="382">
        <f t="shared" si="173"/>
        <v>0</v>
      </c>
      <c r="BV102" s="380">
        <f>SUM(BW102:CC102)</f>
        <v>0</v>
      </c>
      <c r="BW102" s="376">
        <f t="shared" ref="BW102:CC102" si="174">BW83+BW91</f>
        <v>0</v>
      </c>
      <c r="BX102" s="376">
        <f t="shared" si="174"/>
        <v>0</v>
      </c>
      <c r="BY102" s="376">
        <f t="shared" si="174"/>
        <v>0</v>
      </c>
      <c r="BZ102" s="376">
        <f t="shared" si="174"/>
        <v>0</v>
      </c>
      <c r="CA102" s="376">
        <f t="shared" si="174"/>
        <v>0</v>
      </c>
      <c r="CB102" s="376">
        <f t="shared" si="174"/>
        <v>0</v>
      </c>
      <c r="CC102" s="383">
        <f t="shared" si="174"/>
        <v>0</v>
      </c>
      <c r="CD102" s="366"/>
      <c r="CE102" s="366"/>
    </row>
    <row r="103" spans="1:83" s="123" customFormat="1" x14ac:dyDescent="0.2">
      <c r="A103" s="466"/>
      <c r="B103" s="699" t="s">
        <v>534</v>
      </c>
      <c r="C103" s="700"/>
      <c r="D103" s="700"/>
      <c r="E103" s="700"/>
      <c r="F103" s="700"/>
      <c r="G103" s="700"/>
      <c r="H103" s="701"/>
      <c r="I103" s="151">
        <f>I94</f>
        <v>216</v>
      </c>
      <c r="J103" s="151" t="str">
        <f>J94</f>
        <v>-</v>
      </c>
      <c r="K103" s="152">
        <f>K94</f>
        <v>216</v>
      </c>
      <c r="L103" s="152">
        <f t="shared" ref="L103:P103" si="175">L94</f>
        <v>0</v>
      </c>
      <c r="M103" s="152">
        <f t="shared" si="175"/>
        <v>0</v>
      </c>
      <c r="N103" s="152">
        <f t="shared" si="175"/>
        <v>0</v>
      </c>
      <c r="O103" s="152">
        <f t="shared" si="175"/>
        <v>0</v>
      </c>
      <c r="P103" s="152">
        <f t="shared" si="175"/>
        <v>0</v>
      </c>
      <c r="Q103" s="162">
        <f>Q94</f>
        <v>216</v>
      </c>
      <c r="R103" s="375">
        <f>SUM(S103:W103)</f>
        <v>0</v>
      </c>
      <c r="S103" s="376">
        <f t="shared" ref="S103:BN103" si="176">S94</f>
        <v>0</v>
      </c>
      <c r="T103" s="376">
        <f t="shared" si="176"/>
        <v>0</v>
      </c>
      <c r="U103" s="376">
        <f t="shared" si="176"/>
        <v>0</v>
      </c>
      <c r="V103" s="376">
        <f t="shared" si="176"/>
        <v>0</v>
      </c>
      <c r="W103" s="382">
        <f t="shared" si="176"/>
        <v>0</v>
      </c>
      <c r="X103" s="378">
        <f t="shared" si="176"/>
        <v>0</v>
      </c>
      <c r="Y103" s="376">
        <f t="shared" si="176"/>
        <v>0</v>
      </c>
      <c r="Z103" s="376">
        <f t="shared" si="176"/>
        <v>0</v>
      </c>
      <c r="AA103" s="376">
        <f t="shared" si="176"/>
        <v>0</v>
      </c>
      <c r="AB103" s="376">
        <f t="shared" si="176"/>
        <v>0</v>
      </c>
      <c r="AC103" s="385">
        <f t="shared" si="176"/>
        <v>0</v>
      </c>
      <c r="AD103" s="379">
        <f t="shared" si="176"/>
        <v>0</v>
      </c>
      <c r="AE103" s="376">
        <f t="shared" si="176"/>
        <v>0</v>
      </c>
      <c r="AF103" s="376">
        <f t="shared" si="176"/>
        <v>0</v>
      </c>
      <c r="AG103" s="376">
        <f t="shared" si="176"/>
        <v>0</v>
      </c>
      <c r="AH103" s="376">
        <f t="shared" si="176"/>
        <v>0</v>
      </c>
      <c r="AI103" s="382">
        <f t="shared" si="176"/>
        <v>0</v>
      </c>
      <c r="AJ103" s="378">
        <f t="shared" si="176"/>
        <v>0</v>
      </c>
      <c r="AK103" s="376">
        <f t="shared" si="176"/>
        <v>0</v>
      </c>
      <c r="AL103" s="376">
        <f t="shared" si="176"/>
        <v>0</v>
      </c>
      <c r="AM103" s="376">
        <f t="shared" si="176"/>
        <v>0</v>
      </c>
      <c r="AN103" s="376">
        <f t="shared" si="176"/>
        <v>0</v>
      </c>
      <c r="AO103" s="385">
        <f t="shared" si="176"/>
        <v>0</v>
      </c>
      <c r="AP103" s="379">
        <f t="shared" si="176"/>
        <v>0</v>
      </c>
      <c r="AQ103" s="376">
        <f t="shared" si="176"/>
        <v>0</v>
      </c>
      <c r="AR103" s="376">
        <f t="shared" si="176"/>
        <v>0</v>
      </c>
      <c r="AS103" s="376">
        <f t="shared" si="176"/>
        <v>0</v>
      </c>
      <c r="AT103" s="376">
        <f t="shared" si="176"/>
        <v>0</v>
      </c>
      <c r="AU103" s="382">
        <f t="shared" si="176"/>
        <v>0</v>
      </c>
      <c r="AV103" s="378">
        <f t="shared" si="176"/>
        <v>0</v>
      </c>
      <c r="AW103" s="376">
        <f t="shared" si="176"/>
        <v>0</v>
      </c>
      <c r="AX103" s="376">
        <f t="shared" si="176"/>
        <v>0</v>
      </c>
      <c r="AY103" s="376">
        <f t="shared" si="176"/>
        <v>0</v>
      </c>
      <c r="AZ103" s="376">
        <f t="shared" si="176"/>
        <v>0</v>
      </c>
      <c r="BA103" s="385">
        <f t="shared" si="176"/>
        <v>0</v>
      </c>
      <c r="BB103" s="379">
        <f t="shared" si="176"/>
        <v>0</v>
      </c>
      <c r="BC103" s="376">
        <f t="shared" si="176"/>
        <v>0</v>
      </c>
      <c r="BD103" s="376">
        <f t="shared" si="176"/>
        <v>0</v>
      </c>
      <c r="BE103" s="376">
        <f t="shared" si="176"/>
        <v>0</v>
      </c>
      <c r="BF103" s="376">
        <f t="shared" si="176"/>
        <v>0</v>
      </c>
      <c r="BG103" s="382">
        <f t="shared" si="176"/>
        <v>0</v>
      </c>
      <c r="BH103" s="378">
        <f t="shared" si="176"/>
        <v>216</v>
      </c>
      <c r="BI103" s="376">
        <f t="shared" si="176"/>
        <v>0</v>
      </c>
      <c r="BJ103" s="376">
        <f t="shared" si="176"/>
        <v>0</v>
      </c>
      <c r="BK103" s="376">
        <f t="shared" si="176"/>
        <v>0</v>
      </c>
      <c r="BL103" s="376">
        <f t="shared" si="176"/>
        <v>0</v>
      </c>
      <c r="BM103" s="385">
        <f t="shared" si="176"/>
        <v>216</v>
      </c>
      <c r="BN103" s="379">
        <f t="shared" si="176"/>
        <v>0</v>
      </c>
      <c r="BO103" s="376">
        <f t="shared" ref="BO103:CC103" si="177">BO94</f>
        <v>0</v>
      </c>
      <c r="BP103" s="376">
        <f t="shared" si="177"/>
        <v>0</v>
      </c>
      <c r="BQ103" s="376">
        <f t="shared" si="177"/>
        <v>0</v>
      </c>
      <c r="BR103" s="376">
        <f t="shared" si="177"/>
        <v>0</v>
      </c>
      <c r="BS103" s="376">
        <f t="shared" si="177"/>
        <v>0</v>
      </c>
      <c r="BT103" s="376">
        <f t="shared" si="177"/>
        <v>0</v>
      </c>
      <c r="BU103" s="382">
        <f t="shared" si="177"/>
        <v>0</v>
      </c>
      <c r="BV103" s="380">
        <f t="shared" si="177"/>
        <v>0</v>
      </c>
      <c r="BW103" s="376">
        <f t="shared" si="177"/>
        <v>0</v>
      </c>
      <c r="BX103" s="376">
        <f t="shared" si="177"/>
        <v>0</v>
      </c>
      <c r="BY103" s="376">
        <f t="shared" si="177"/>
        <v>0</v>
      </c>
      <c r="BZ103" s="376">
        <f t="shared" si="177"/>
        <v>0</v>
      </c>
      <c r="CA103" s="376">
        <f t="shared" si="177"/>
        <v>0</v>
      </c>
      <c r="CB103" s="376">
        <f t="shared" si="177"/>
        <v>0</v>
      </c>
      <c r="CC103" s="383">
        <f t="shared" si="177"/>
        <v>0</v>
      </c>
      <c r="CD103" s="366"/>
      <c r="CE103" s="366"/>
    </row>
    <row r="104" spans="1:83" s="123" customFormat="1" ht="12.75" hidden="1" customHeight="1" x14ac:dyDescent="0.2">
      <c r="A104" s="467"/>
      <c r="B104" s="713" t="s">
        <v>268</v>
      </c>
      <c r="C104" s="714"/>
      <c r="D104" s="714"/>
      <c r="E104" s="714"/>
      <c r="F104" s="714"/>
      <c r="G104" s="714"/>
      <c r="H104" s="745"/>
      <c r="I104" s="384">
        <f>I97</f>
        <v>0</v>
      </c>
      <c r="J104" s="384" t="str">
        <f>J97</f>
        <v>-</v>
      </c>
      <c r="K104" s="385">
        <f>K97</f>
        <v>0</v>
      </c>
      <c r="L104" s="385">
        <f t="shared" ref="L104:P104" si="178">L97</f>
        <v>0</v>
      </c>
      <c r="M104" s="385">
        <f t="shared" si="178"/>
        <v>0</v>
      </c>
      <c r="N104" s="385">
        <f t="shared" si="178"/>
        <v>0</v>
      </c>
      <c r="O104" s="385">
        <f t="shared" si="178"/>
        <v>0</v>
      </c>
      <c r="P104" s="385">
        <f t="shared" si="178"/>
        <v>0</v>
      </c>
      <c r="Q104" s="382">
        <f>Q97</f>
        <v>0</v>
      </c>
      <c r="R104" s="386">
        <f t="shared" ref="R104:BM104" si="179">R97</f>
        <v>0</v>
      </c>
      <c r="S104" s="376">
        <f t="shared" si="179"/>
        <v>0</v>
      </c>
      <c r="T104" s="376">
        <f t="shared" si="179"/>
        <v>0</v>
      </c>
      <c r="U104" s="376">
        <f t="shared" si="179"/>
        <v>0</v>
      </c>
      <c r="V104" s="376">
        <f t="shared" si="179"/>
        <v>0</v>
      </c>
      <c r="W104" s="382">
        <f t="shared" si="179"/>
        <v>0</v>
      </c>
      <c r="X104" s="387">
        <f t="shared" si="179"/>
        <v>0</v>
      </c>
      <c r="Y104" s="376">
        <f t="shared" si="179"/>
        <v>0</v>
      </c>
      <c r="Z104" s="376">
        <f t="shared" si="179"/>
        <v>0</v>
      </c>
      <c r="AA104" s="376">
        <f t="shared" si="179"/>
        <v>0</v>
      </c>
      <c r="AB104" s="376">
        <f t="shared" si="179"/>
        <v>0</v>
      </c>
      <c r="AC104" s="385">
        <f t="shared" si="179"/>
        <v>0</v>
      </c>
      <c r="AD104" s="388">
        <f t="shared" si="179"/>
        <v>0</v>
      </c>
      <c r="AE104" s="376">
        <f t="shared" si="179"/>
        <v>0</v>
      </c>
      <c r="AF104" s="376">
        <f t="shared" si="179"/>
        <v>0</v>
      </c>
      <c r="AG104" s="376">
        <f t="shared" si="179"/>
        <v>0</v>
      </c>
      <c r="AH104" s="376">
        <f t="shared" si="179"/>
        <v>0</v>
      </c>
      <c r="AI104" s="382">
        <f t="shared" si="179"/>
        <v>0</v>
      </c>
      <c r="AJ104" s="387">
        <f t="shared" si="179"/>
        <v>0</v>
      </c>
      <c r="AK104" s="376">
        <f t="shared" si="179"/>
        <v>0</v>
      </c>
      <c r="AL104" s="376">
        <f t="shared" si="179"/>
        <v>0</v>
      </c>
      <c r="AM104" s="376">
        <f t="shared" si="179"/>
        <v>0</v>
      </c>
      <c r="AN104" s="376">
        <f t="shared" si="179"/>
        <v>0</v>
      </c>
      <c r="AO104" s="385">
        <f t="shared" si="179"/>
        <v>0</v>
      </c>
      <c r="AP104" s="388">
        <f t="shared" si="179"/>
        <v>0</v>
      </c>
      <c r="AQ104" s="376">
        <f t="shared" si="179"/>
        <v>0</v>
      </c>
      <c r="AR104" s="376">
        <f t="shared" si="179"/>
        <v>0</v>
      </c>
      <c r="AS104" s="376">
        <f t="shared" si="179"/>
        <v>0</v>
      </c>
      <c r="AT104" s="376">
        <f t="shared" si="179"/>
        <v>0</v>
      </c>
      <c r="AU104" s="382">
        <f t="shared" si="179"/>
        <v>0</v>
      </c>
      <c r="AV104" s="387">
        <f t="shared" si="179"/>
        <v>0</v>
      </c>
      <c r="AW104" s="376">
        <f t="shared" si="179"/>
        <v>0</v>
      </c>
      <c r="AX104" s="376">
        <f t="shared" si="179"/>
        <v>0</v>
      </c>
      <c r="AY104" s="376">
        <f t="shared" si="179"/>
        <v>0</v>
      </c>
      <c r="AZ104" s="376">
        <f t="shared" si="179"/>
        <v>0</v>
      </c>
      <c r="BA104" s="385">
        <f t="shared" si="179"/>
        <v>0</v>
      </c>
      <c r="BB104" s="388">
        <f t="shared" si="179"/>
        <v>0</v>
      </c>
      <c r="BC104" s="376">
        <f t="shared" si="179"/>
        <v>0</v>
      </c>
      <c r="BD104" s="376">
        <f t="shared" si="179"/>
        <v>0</v>
      </c>
      <c r="BE104" s="376">
        <f t="shared" si="179"/>
        <v>0</v>
      </c>
      <c r="BF104" s="376">
        <f t="shared" si="179"/>
        <v>0</v>
      </c>
      <c r="BG104" s="382">
        <f t="shared" si="179"/>
        <v>0</v>
      </c>
      <c r="BH104" s="387">
        <f t="shared" si="179"/>
        <v>0</v>
      </c>
      <c r="BI104" s="376">
        <f t="shared" si="179"/>
        <v>0</v>
      </c>
      <c r="BJ104" s="376">
        <f t="shared" si="179"/>
        <v>0</v>
      </c>
      <c r="BK104" s="376">
        <f t="shared" si="179"/>
        <v>0</v>
      </c>
      <c r="BL104" s="376">
        <f t="shared" si="179"/>
        <v>0</v>
      </c>
      <c r="BM104" s="385">
        <f t="shared" si="179"/>
        <v>0</v>
      </c>
      <c r="BN104" s="388">
        <f t="shared" ref="BN104:CC104" si="180">BN97</f>
        <v>0</v>
      </c>
      <c r="BO104" s="376">
        <f t="shared" si="180"/>
        <v>0</v>
      </c>
      <c r="BP104" s="376">
        <f t="shared" si="180"/>
        <v>0</v>
      </c>
      <c r="BQ104" s="376">
        <f t="shared" si="180"/>
        <v>0</v>
      </c>
      <c r="BR104" s="376">
        <f t="shared" si="180"/>
        <v>0</v>
      </c>
      <c r="BS104" s="376">
        <f t="shared" si="180"/>
        <v>0</v>
      </c>
      <c r="BT104" s="376">
        <f t="shared" si="180"/>
        <v>0</v>
      </c>
      <c r="BU104" s="382">
        <f t="shared" si="180"/>
        <v>0</v>
      </c>
      <c r="BV104" s="389">
        <f t="shared" si="180"/>
        <v>0</v>
      </c>
      <c r="BW104" s="376">
        <f t="shared" si="180"/>
        <v>0</v>
      </c>
      <c r="BX104" s="376">
        <f t="shared" si="180"/>
        <v>0</v>
      </c>
      <c r="BY104" s="376">
        <f t="shared" si="180"/>
        <v>0</v>
      </c>
      <c r="BZ104" s="376">
        <f t="shared" si="180"/>
        <v>0</v>
      </c>
      <c r="CA104" s="376">
        <f t="shared" si="180"/>
        <v>0</v>
      </c>
      <c r="CB104" s="376">
        <f t="shared" si="180"/>
        <v>0</v>
      </c>
      <c r="CC104" s="382">
        <f t="shared" si="180"/>
        <v>0</v>
      </c>
      <c r="CD104" s="366"/>
      <c r="CE104" s="366"/>
    </row>
    <row r="105" spans="1:83" s="123" customFormat="1" x14ac:dyDescent="0.2">
      <c r="A105" s="390"/>
      <c r="B105" s="699" t="s">
        <v>211</v>
      </c>
      <c r="C105" s="700"/>
      <c r="D105" s="700"/>
      <c r="E105" s="700"/>
      <c r="F105" s="700"/>
      <c r="G105" s="700"/>
      <c r="H105" s="700"/>
      <c r="I105" s="153">
        <f>SUM(I101:I103)</f>
        <v>6534</v>
      </c>
      <c r="J105" s="153">
        <f>SUM(J101:J103)</f>
        <v>5724</v>
      </c>
      <c r="K105" s="154">
        <f>SUM(K101:K103)</f>
        <v>7866</v>
      </c>
      <c r="L105" s="154">
        <f t="shared" ref="L105:P105" si="181">SUM(L101:L103)</f>
        <v>5724</v>
      </c>
      <c r="M105" s="154">
        <f t="shared" si="181"/>
        <v>2902</v>
      </c>
      <c r="N105" s="154">
        <f t="shared" si="181"/>
        <v>896</v>
      </c>
      <c r="O105" s="154">
        <f t="shared" si="181"/>
        <v>54</v>
      </c>
      <c r="P105" s="154">
        <f t="shared" si="181"/>
        <v>1872</v>
      </c>
      <c r="Q105" s="162">
        <f>SUM(Q101:Q103)</f>
        <v>2142</v>
      </c>
      <c r="R105" s="413">
        <f t="shared" ref="R105:BM105" si="182">SUM(R101:R103)</f>
        <v>918</v>
      </c>
      <c r="S105" s="414">
        <f t="shared" si="182"/>
        <v>527</v>
      </c>
      <c r="T105" s="414">
        <f t="shared" si="182"/>
        <v>85</v>
      </c>
      <c r="U105" s="414">
        <f t="shared" si="182"/>
        <v>0</v>
      </c>
      <c r="V105" s="414">
        <f t="shared" si="182"/>
        <v>0</v>
      </c>
      <c r="W105" s="415">
        <f t="shared" si="182"/>
        <v>306</v>
      </c>
      <c r="X105" s="378">
        <f t="shared" si="182"/>
        <v>1188</v>
      </c>
      <c r="Y105" s="376">
        <f t="shared" si="182"/>
        <v>671</v>
      </c>
      <c r="Z105" s="376">
        <f t="shared" si="182"/>
        <v>121</v>
      </c>
      <c r="AA105" s="376">
        <f t="shared" si="182"/>
        <v>0</v>
      </c>
      <c r="AB105" s="376">
        <f t="shared" si="182"/>
        <v>0</v>
      </c>
      <c r="AC105" s="376">
        <f t="shared" si="182"/>
        <v>396</v>
      </c>
      <c r="AD105" s="379">
        <f t="shared" si="182"/>
        <v>864</v>
      </c>
      <c r="AE105" s="376">
        <f t="shared" si="182"/>
        <v>468</v>
      </c>
      <c r="AF105" s="376">
        <f t="shared" si="182"/>
        <v>108</v>
      </c>
      <c r="AG105" s="376">
        <f t="shared" si="182"/>
        <v>0</v>
      </c>
      <c r="AH105" s="376">
        <f t="shared" si="182"/>
        <v>0</v>
      </c>
      <c r="AI105" s="377">
        <f t="shared" si="182"/>
        <v>288</v>
      </c>
      <c r="AJ105" s="416">
        <f t="shared" si="182"/>
        <v>1188</v>
      </c>
      <c r="AK105" s="414">
        <f t="shared" si="182"/>
        <v>302</v>
      </c>
      <c r="AL105" s="414">
        <f t="shared" si="182"/>
        <v>202</v>
      </c>
      <c r="AM105" s="414">
        <f t="shared" si="182"/>
        <v>0</v>
      </c>
      <c r="AN105" s="414">
        <f t="shared" si="182"/>
        <v>432</v>
      </c>
      <c r="AO105" s="414">
        <f t="shared" si="182"/>
        <v>252</v>
      </c>
      <c r="AP105" s="577">
        <f t="shared" si="182"/>
        <v>792</v>
      </c>
      <c r="AQ105" s="414">
        <f t="shared" si="182"/>
        <v>316</v>
      </c>
      <c r="AR105" s="414">
        <f t="shared" si="182"/>
        <v>92</v>
      </c>
      <c r="AS105" s="414">
        <f t="shared" si="182"/>
        <v>24</v>
      </c>
      <c r="AT105" s="414">
        <f t="shared" si="182"/>
        <v>144</v>
      </c>
      <c r="AU105" s="415">
        <f t="shared" si="182"/>
        <v>216</v>
      </c>
      <c r="AV105" s="378">
        <f t="shared" si="182"/>
        <v>1062</v>
      </c>
      <c r="AW105" s="376">
        <f t="shared" si="182"/>
        <v>178</v>
      </c>
      <c r="AX105" s="376">
        <f t="shared" si="182"/>
        <v>74</v>
      </c>
      <c r="AY105" s="376">
        <f t="shared" si="182"/>
        <v>0</v>
      </c>
      <c r="AZ105" s="376">
        <f t="shared" si="182"/>
        <v>684</v>
      </c>
      <c r="BA105" s="376">
        <f t="shared" si="182"/>
        <v>126</v>
      </c>
      <c r="BB105" s="379">
        <f t="shared" si="182"/>
        <v>612</v>
      </c>
      <c r="BC105" s="376">
        <f t="shared" si="182"/>
        <v>0</v>
      </c>
      <c r="BD105" s="376">
        <f t="shared" si="182"/>
        <v>0</v>
      </c>
      <c r="BE105" s="376">
        <f t="shared" si="182"/>
        <v>0</v>
      </c>
      <c r="BF105" s="376">
        <f t="shared" si="182"/>
        <v>612</v>
      </c>
      <c r="BG105" s="377">
        <f t="shared" si="182"/>
        <v>0</v>
      </c>
      <c r="BH105" s="416">
        <f t="shared" si="182"/>
        <v>1242</v>
      </c>
      <c r="BI105" s="414">
        <f t="shared" si="182"/>
        <v>440</v>
      </c>
      <c r="BJ105" s="414">
        <f t="shared" si="182"/>
        <v>214</v>
      </c>
      <c r="BK105" s="414">
        <f t="shared" si="182"/>
        <v>30</v>
      </c>
      <c r="BL105" s="414">
        <f t="shared" si="182"/>
        <v>0</v>
      </c>
      <c r="BM105" s="414">
        <f t="shared" si="182"/>
        <v>558</v>
      </c>
      <c r="BN105" s="379">
        <f t="shared" ref="BN105:CC105" si="183">SUM(BN101:BN103)</f>
        <v>0</v>
      </c>
      <c r="BO105" s="376">
        <f t="shared" si="183"/>
        <v>0</v>
      </c>
      <c r="BP105" s="376">
        <f t="shared" si="183"/>
        <v>0</v>
      </c>
      <c r="BQ105" s="376">
        <f t="shared" si="183"/>
        <v>0</v>
      </c>
      <c r="BR105" s="376">
        <f t="shared" si="183"/>
        <v>0</v>
      </c>
      <c r="BS105" s="376">
        <f t="shared" si="183"/>
        <v>0</v>
      </c>
      <c r="BT105" s="376">
        <f t="shared" si="183"/>
        <v>0</v>
      </c>
      <c r="BU105" s="377">
        <f t="shared" si="183"/>
        <v>0</v>
      </c>
      <c r="BV105" s="380">
        <f t="shared" si="183"/>
        <v>0</v>
      </c>
      <c r="BW105" s="376">
        <f t="shared" si="183"/>
        <v>0</v>
      </c>
      <c r="BX105" s="376">
        <f t="shared" si="183"/>
        <v>0</v>
      </c>
      <c r="BY105" s="376">
        <f t="shared" si="183"/>
        <v>0</v>
      </c>
      <c r="BZ105" s="376">
        <f t="shared" si="183"/>
        <v>0</v>
      </c>
      <c r="CA105" s="376">
        <f t="shared" si="183"/>
        <v>0</v>
      </c>
      <c r="CB105" s="376">
        <f t="shared" si="183"/>
        <v>0</v>
      </c>
      <c r="CC105" s="377">
        <f t="shared" si="183"/>
        <v>0</v>
      </c>
      <c r="CD105" s="366"/>
      <c r="CE105" s="366"/>
    </row>
    <row r="106" spans="1:83" s="123" customFormat="1" x14ac:dyDescent="0.2">
      <c r="A106" s="390"/>
      <c r="B106" s="713" t="s">
        <v>227</v>
      </c>
      <c r="C106" s="714"/>
      <c r="D106" s="714"/>
      <c r="E106" s="714"/>
      <c r="F106" s="714"/>
      <c r="G106" s="714"/>
      <c r="H106" s="714"/>
      <c r="I106" s="714"/>
      <c r="J106" s="714"/>
      <c r="K106" s="725">
        <f>COUNTIF(K13:K23,"&gt;0")+COUNTIF(K26:K27,"&gt;0")+COUNTIF(K30:K33,"&gt;0")+COUNTIF(K35:K37,"&gt;0")+COUNTIF(K40:K46,"&gt;0")+DCOUNT(A10:CC74,"21",A117:B118)+COUNTIF(K77:K82,"&gt;0")</f>
        <v>33</v>
      </c>
      <c r="L106" s="726"/>
      <c r="M106" s="726"/>
      <c r="N106" s="726"/>
      <c r="O106" s="726"/>
      <c r="P106" s="726"/>
      <c r="Q106" s="726"/>
      <c r="R106" s="727">
        <f>COUNTIF(R13:R23,"&gt;0")+COUNTIF(R26:R27,"&gt;0")+COUNTIF(R30:R33,"&gt;0")+COUNTIF(R35:R37,"&gt;0")+COUNTIF(R40:R46,"&gt;0")+DCOUNT(A10:CC74,"21",A119:B120)+COUNTIF(R77:R82,"&gt;0")</f>
        <v>12</v>
      </c>
      <c r="S106" s="711"/>
      <c r="T106" s="711"/>
      <c r="U106" s="711"/>
      <c r="V106" s="711"/>
      <c r="W106" s="711"/>
      <c r="X106" s="722">
        <f>COUNTIF(X13:X23,"&gt;0")+COUNTIF(X26:X27,"&gt;0")+COUNTIF(X30:X33,"&gt;0")+COUNTIF(X35:X37,"&gt;0")+COUNTIF(X40:X46,"&gt;0")+DCOUNT(A10:CC74,"21",A121:B122)+COUNTIF(X77:X82,"&gt;0")</f>
        <v>11</v>
      </c>
      <c r="Y106" s="711"/>
      <c r="Z106" s="711"/>
      <c r="AA106" s="711"/>
      <c r="AB106" s="711"/>
      <c r="AC106" s="723"/>
      <c r="AD106" s="711">
        <f>COUNTIF(AD13:AD23,"&gt;0")+COUNTIF(AD26:AD27,"&gt;0")+COUNTIF(AD30:AD33,"&gt;0")+COUNTIF(AD35:AD37,"&gt;0")+COUNTIF(AD40:AD46,"&gt;0")+DCOUNT(A10:CC74,"21",A123:B124)+COUNTIF(AD77:AD82,"&gt;0")</f>
        <v>11</v>
      </c>
      <c r="AE106" s="711"/>
      <c r="AF106" s="711"/>
      <c r="AG106" s="711"/>
      <c r="AH106" s="711"/>
      <c r="AI106" s="711"/>
      <c r="AJ106" s="722">
        <f>COUNTIF(AJ13:AJ23,"&gt;0")+COUNTIF(AJ26:AJ27,"&gt;0")+COUNTIF(AJ30:AJ33,"&gt;0")+COUNTIF(AJ35:AJ37,"&gt;0")+COUNTIF(AJ40:AJ46,"&gt;0")+DCOUNT(A10:CC74,"21",A125:B126)+COUNTIF(AJ77:AJ82,"&gt;0")</f>
        <v>9</v>
      </c>
      <c r="AK106" s="711"/>
      <c r="AL106" s="711"/>
      <c r="AM106" s="711"/>
      <c r="AN106" s="711"/>
      <c r="AO106" s="723"/>
      <c r="AP106" s="711">
        <f>COUNTIF(AP13:AP23,"&gt;0")+COUNTIF(AP26:AP27,"&gt;0")+COUNTIF(AP30:AP33,"&gt;0")+COUNTIF(AP35:AP37,"&gt;0")+COUNTIF(AP40:AP46,"&gt;0")+DCOUNT(A10:CC74,"21",A127:B128)+COUNTIF(AP77:AP82,"&gt;0")</f>
        <v>5</v>
      </c>
      <c r="AQ106" s="711"/>
      <c r="AR106" s="711"/>
      <c r="AS106" s="711"/>
      <c r="AT106" s="711"/>
      <c r="AU106" s="711"/>
      <c r="AV106" s="722">
        <f>COUNTIF(AV13:AV23,"&gt;0")+COUNTIF(AV26:AV27,"&gt;0")+COUNTIF(AV30:AV33,"&gt;0")+COUNTIF(AV35:AV37,"&gt;0")+COUNTIF(AV40:AV46,"&gt;0")+DCOUNT(A10:CC74,"21",A129:B130)+COUNTIF(AV77:AV82,"&gt;0")</f>
        <v>4</v>
      </c>
      <c r="AW106" s="711"/>
      <c r="AX106" s="711"/>
      <c r="AY106" s="711"/>
      <c r="AZ106" s="711"/>
      <c r="BA106" s="723"/>
      <c r="BB106" s="711">
        <f>COUNTIF(BB13:BB23,"&gt;0")+COUNTIF(BB26:BB27,"&gt;0")+COUNTIF(BB30:BB33,"&gt;0")+COUNTIF(BB35:BB37,"&gt;0")+COUNTIF(BB40:BB46,"&gt;0")+DCOUNT(A10:CC74,"21",A131:B132)+COUNTIF(BB77:BB82,"&gt;0")</f>
        <v>0</v>
      </c>
      <c r="BC106" s="711"/>
      <c r="BD106" s="711"/>
      <c r="BE106" s="711"/>
      <c r="BF106" s="711"/>
      <c r="BG106" s="711"/>
      <c r="BH106" s="722">
        <f>COUNTIF(BH13:BH23,"&gt;0")+COUNTIF(BH26:BH27,"&gt;0")+COUNTIF(BH30:BH33,"&gt;0")+COUNTIF(BH35:BH37,"&gt;0")+COUNTIF(BH40:BH46,"&gt;0")+DCOUNT(A10:CC74,"21",A133:B134)+COUNTIF(BH77:BH82,"&gt;0")</f>
        <v>4</v>
      </c>
      <c r="BI106" s="711"/>
      <c r="BJ106" s="711"/>
      <c r="BK106" s="711"/>
      <c r="BL106" s="711"/>
      <c r="BM106" s="723"/>
      <c r="BN106" s="711">
        <f>COUNTIF(BN13:BN23,"&gt;0")+COUNTIF(BN26:BN27,"&gt;0")+COUNTIF(BN30:BN33,"&gt;0")+COUNTIF(BN35:BN37,"&gt;0")+COUNTIF(BN40:BN46,"&gt;0")+DCOUNT(A10:CC74,"21",A135:B136)+COUNTIF(BN77:BN82,"&gt;0")</f>
        <v>0</v>
      </c>
      <c r="BO106" s="711"/>
      <c r="BP106" s="711"/>
      <c r="BQ106" s="711"/>
      <c r="BR106" s="711"/>
      <c r="BS106" s="711"/>
      <c r="BT106" s="711"/>
      <c r="BU106" s="724"/>
      <c r="BV106" s="710">
        <f>COUNTIF(BV13:BV23,"&gt;0")+COUNTIF(BV26:BV27,"&gt;0")+COUNTIF(BV30:BV33,"&gt;0")+COUNTIF(BV35:BV37,"&gt;0")+COUNTIF(BV40:BV46,"&gt;0")+DCOUNT(A10:CC74,"21",A137:B138)+COUNTIF(BV77:BV82,"&gt;0")</f>
        <v>0</v>
      </c>
      <c r="BW106" s="711"/>
      <c r="BX106" s="711"/>
      <c r="BY106" s="711"/>
      <c r="BZ106" s="711"/>
      <c r="CA106" s="711"/>
      <c r="CB106" s="711"/>
      <c r="CC106" s="712"/>
      <c r="CD106" s="366"/>
      <c r="CE106" s="366"/>
    </row>
    <row r="107" spans="1:83" s="123" customFormat="1" x14ac:dyDescent="0.2">
      <c r="A107" s="390"/>
      <c r="B107" s="713" t="s">
        <v>79</v>
      </c>
      <c r="C107" s="714"/>
      <c r="D107" s="714"/>
      <c r="E107" s="714"/>
      <c r="F107" s="714"/>
      <c r="G107" s="714"/>
      <c r="H107" s="714"/>
      <c r="I107" s="714"/>
      <c r="J107" s="714"/>
      <c r="K107" s="715">
        <f>COUNTIF(K84:K88,"&gt;0")+COUNTIF(K92:K92,"&gt;0")</f>
        <v>5</v>
      </c>
      <c r="L107" s="716"/>
      <c r="M107" s="716"/>
      <c r="N107" s="716"/>
      <c r="O107" s="716"/>
      <c r="P107" s="716"/>
      <c r="Q107" s="717"/>
      <c r="R107" s="718">
        <f>COUNTIF(R84:R87,"&gt;0")+COUNTIF(R92:R92,"&gt;0")</f>
        <v>0</v>
      </c>
      <c r="S107" s="719"/>
      <c r="T107" s="719"/>
      <c r="U107" s="719"/>
      <c r="V107" s="719"/>
      <c r="W107" s="710"/>
      <c r="X107" s="720">
        <f>COUNTIF(X84:X87,"&gt;0")+COUNTIF(X92:X92,"&gt;0")</f>
        <v>0</v>
      </c>
      <c r="Y107" s="719"/>
      <c r="Z107" s="719"/>
      <c r="AA107" s="719"/>
      <c r="AB107" s="719"/>
      <c r="AC107" s="721"/>
      <c r="AD107" s="712">
        <f>COUNTIF(AD84:AD87,"&gt;0")+COUNTIF(AD92:AD92,"&gt;0")</f>
        <v>0</v>
      </c>
      <c r="AE107" s="719"/>
      <c r="AF107" s="719"/>
      <c r="AG107" s="719"/>
      <c r="AH107" s="719"/>
      <c r="AI107" s="710"/>
      <c r="AJ107" s="720">
        <f>COUNTIF(AJ84:AJ87,"&gt;0")+COUNTIF(AJ92:AJ92,"&gt;0")</f>
        <v>3</v>
      </c>
      <c r="AK107" s="719"/>
      <c r="AL107" s="719"/>
      <c r="AM107" s="719"/>
      <c r="AN107" s="719"/>
      <c r="AO107" s="721"/>
      <c r="AP107" s="712">
        <f>COUNTIF(AP84:AP87,"&gt;0")+COUNTIF(AP92:AP92,"&gt;0")</f>
        <v>1</v>
      </c>
      <c r="AQ107" s="719"/>
      <c r="AR107" s="719"/>
      <c r="AS107" s="719"/>
      <c r="AT107" s="719"/>
      <c r="AU107" s="710"/>
      <c r="AV107" s="720">
        <f>COUNTIF(AV84:AV87,"&gt;0")+COUNTIF(AV92:AV92,"&gt;0")</f>
        <v>1</v>
      </c>
      <c r="AW107" s="719"/>
      <c r="AX107" s="719"/>
      <c r="AY107" s="719"/>
      <c r="AZ107" s="719"/>
      <c r="BA107" s="721"/>
      <c r="BB107" s="712">
        <f>COUNTIF(BB84:BB87,"&gt;0")+COUNTIF(BB92:BB92,"&gt;0")</f>
        <v>1</v>
      </c>
      <c r="BC107" s="719"/>
      <c r="BD107" s="719"/>
      <c r="BE107" s="719"/>
      <c r="BF107" s="719"/>
      <c r="BG107" s="710"/>
      <c r="BH107" s="720">
        <f>COUNTIF(BH84:BH87,"&gt;0")+COUNTIF(BH92:BH92,"&gt;0")</f>
        <v>0</v>
      </c>
      <c r="BI107" s="719"/>
      <c r="BJ107" s="719"/>
      <c r="BK107" s="719"/>
      <c r="BL107" s="719"/>
      <c r="BM107" s="721"/>
      <c r="BN107" s="712">
        <f>COUNTIF(BN84:BN87,"&gt;0")+COUNTIF(BN92:BN92,"&gt;0")</f>
        <v>0</v>
      </c>
      <c r="BO107" s="719"/>
      <c r="BP107" s="719"/>
      <c r="BQ107" s="719"/>
      <c r="BR107" s="719"/>
      <c r="BS107" s="719"/>
      <c r="BT107" s="719"/>
      <c r="BU107" s="710"/>
      <c r="BV107" s="719">
        <f>COUNTIF(BV84:BV87,"&gt;0")+COUNTIF(BV92:BV92,"&gt;0")</f>
        <v>0</v>
      </c>
      <c r="BW107" s="719"/>
      <c r="BX107" s="719"/>
      <c r="BY107" s="719"/>
      <c r="BZ107" s="719"/>
      <c r="CA107" s="719"/>
      <c r="CB107" s="719"/>
      <c r="CC107" s="719"/>
      <c r="CD107" s="366"/>
      <c r="CE107" s="366"/>
    </row>
    <row r="108" spans="1:83" s="123" customFormat="1" x14ac:dyDescent="0.2">
      <c r="A108" s="468"/>
      <c r="B108" s="740" t="s">
        <v>548</v>
      </c>
      <c r="C108" s="714"/>
      <c r="D108" s="714"/>
      <c r="E108" s="714"/>
      <c r="F108" s="714"/>
      <c r="G108" s="714"/>
      <c r="H108" s="714"/>
      <c r="I108" s="714"/>
      <c r="J108" s="714"/>
      <c r="K108" s="736">
        <v>54</v>
      </c>
      <c r="L108" s="737"/>
      <c r="M108" s="737"/>
      <c r="N108" s="737"/>
      <c r="O108" s="737"/>
      <c r="P108" s="737"/>
      <c r="Q108" s="738"/>
      <c r="R108" s="739">
        <f>R101/V5</f>
        <v>54</v>
      </c>
      <c r="S108" s="729"/>
      <c r="T108" s="729"/>
      <c r="U108" s="729"/>
      <c r="V108" s="729"/>
      <c r="W108" s="735"/>
      <c r="X108" s="728">
        <f>X101/AB5</f>
        <v>54</v>
      </c>
      <c r="Y108" s="729"/>
      <c r="Z108" s="729"/>
      <c r="AA108" s="729"/>
      <c r="AB108" s="729"/>
      <c r="AC108" s="730"/>
      <c r="AD108" s="734">
        <f>AD101/AH5</f>
        <v>54</v>
      </c>
      <c r="AE108" s="729"/>
      <c r="AF108" s="729"/>
      <c r="AG108" s="729"/>
      <c r="AH108" s="729"/>
      <c r="AI108" s="735"/>
      <c r="AJ108" s="728">
        <f>AJ101/AN5</f>
        <v>54</v>
      </c>
      <c r="AK108" s="729"/>
      <c r="AL108" s="729"/>
      <c r="AM108" s="729"/>
      <c r="AN108" s="729"/>
      <c r="AO108" s="730"/>
      <c r="AP108" s="734">
        <f>AP101/AT5</f>
        <v>54</v>
      </c>
      <c r="AQ108" s="729"/>
      <c r="AR108" s="729"/>
      <c r="AS108" s="729"/>
      <c r="AT108" s="729"/>
      <c r="AU108" s="735"/>
      <c r="AV108" s="728">
        <f>AV101/AZ5</f>
        <v>54</v>
      </c>
      <c r="AW108" s="729"/>
      <c r="AX108" s="729"/>
      <c r="AY108" s="729"/>
      <c r="AZ108" s="729"/>
      <c r="BA108" s="730"/>
      <c r="BB108" s="734"/>
      <c r="BC108" s="729"/>
      <c r="BD108" s="729"/>
      <c r="BE108" s="729"/>
      <c r="BF108" s="729"/>
      <c r="BG108" s="735"/>
      <c r="BH108" s="728">
        <f>BH101/BL5</f>
        <v>54</v>
      </c>
      <c r="BI108" s="729"/>
      <c r="BJ108" s="729"/>
      <c r="BK108" s="729"/>
      <c r="BL108" s="729"/>
      <c r="BM108" s="730"/>
      <c r="BN108" s="731">
        <f>IF(AND(BS5=0,BT7=0,BT8=0),0,IF(BN105=0,0,BN105/(BS5+BT7+BT8)))</f>
        <v>0</v>
      </c>
      <c r="BO108" s="732"/>
      <c r="BP108" s="732"/>
      <c r="BQ108" s="732"/>
      <c r="BR108" s="732"/>
      <c r="BS108" s="732"/>
      <c r="BT108" s="732"/>
      <c r="BU108" s="733"/>
      <c r="BV108" s="732">
        <f>IF(AND(CA5=0,CB7=0,CB8=0),0,IF(BV105=0,0,BV105/(CA5+CB7+CB8)))</f>
        <v>0</v>
      </c>
      <c r="BW108" s="732"/>
      <c r="BX108" s="732"/>
      <c r="BY108" s="732"/>
      <c r="BZ108" s="732"/>
      <c r="CA108" s="732"/>
      <c r="CB108" s="732"/>
      <c r="CC108" s="733"/>
      <c r="CD108" s="366"/>
      <c r="CE108" s="366"/>
    </row>
    <row r="109" spans="1:83" s="123" customFormat="1" x14ac:dyDescent="0.2">
      <c r="A109" s="390"/>
      <c r="B109" s="713" t="s">
        <v>225</v>
      </c>
      <c r="C109" s="714"/>
      <c r="D109" s="714"/>
      <c r="E109" s="714"/>
      <c r="F109" s="714"/>
      <c r="G109" s="714"/>
      <c r="H109" s="714"/>
      <c r="I109" s="714"/>
      <c r="J109" s="714"/>
      <c r="K109" s="736">
        <f>IF('Титульный лист (очная)'!BD29=0,0,IF(L101=0,0,L101/(V5+AB5+AH5+AN5+AT5+AZ5+BF5+BL5+BS5+CA5)))</f>
        <v>36</v>
      </c>
      <c r="L109" s="737"/>
      <c r="M109" s="737"/>
      <c r="N109" s="737"/>
      <c r="O109" s="737"/>
      <c r="P109" s="737"/>
      <c r="Q109" s="738"/>
      <c r="R109" s="739">
        <f>IF(V5=0,0,IF(SUM(S101:V101)=0,0,SUM(S101:V101)/V5))</f>
        <v>36</v>
      </c>
      <c r="S109" s="729"/>
      <c r="T109" s="729"/>
      <c r="U109" s="729"/>
      <c r="V109" s="729"/>
      <c r="W109" s="735"/>
      <c r="X109" s="728">
        <f>IF(AB5=0,0,IF(SUM(Y101:AB101)=0,0,SUM(Y101:AB101)/AB5))</f>
        <v>36</v>
      </c>
      <c r="Y109" s="729"/>
      <c r="Z109" s="729"/>
      <c r="AA109" s="729"/>
      <c r="AB109" s="729"/>
      <c r="AC109" s="730"/>
      <c r="AD109" s="734">
        <f>IF(AH5=0,0,IF(SUM(AE101:AH101)=0,0,SUM(AE101:AH101)/AH5))</f>
        <v>36</v>
      </c>
      <c r="AE109" s="729"/>
      <c r="AF109" s="729"/>
      <c r="AG109" s="729"/>
      <c r="AH109" s="729"/>
      <c r="AI109" s="735"/>
      <c r="AJ109" s="728">
        <f>IF(AN5=0,0,IF(SUM(AK101:AN101)=0,0,SUM(AK101:AN101)/AN5))</f>
        <v>36</v>
      </c>
      <c r="AK109" s="729"/>
      <c r="AL109" s="729"/>
      <c r="AM109" s="729"/>
      <c r="AN109" s="729"/>
      <c r="AO109" s="730"/>
      <c r="AP109" s="734">
        <f>IF(AT5=0,0,IF(SUM(AQ101:AT101)=0,0,SUM(AQ101:AT101)/AT5))</f>
        <v>36</v>
      </c>
      <c r="AQ109" s="729"/>
      <c r="AR109" s="729"/>
      <c r="AS109" s="729"/>
      <c r="AT109" s="729"/>
      <c r="AU109" s="735"/>
      <c r="AV109" s="728">
        <f>IF(AZ5=0,0,IF(SUM(AW101:AZ101)=0,0,SUM(AW101:AZ101)/AZ5))</f>
        <v>36</v>
      </c>
      <c r="AW109" s="729"/>
      <c r="AX109" s="729"/>
      <c r="AY109" s="729"/>
      <c r="AZ109" s="729"/>
      <c r="BA109" s="730"/>
      <c r="BB109" s="734">
        <f>IF(BF5=0,0,IF(SUM(BC101:BF101)=0,0,SUM(BC101:BF101)/BF5))</f>
        <v>0</v>
      </c>
      <c r="BC109" s="729"/>
      <c r="BD109" s="729"/>
      <c r="BE109" s="729"/>
      <c r="BF109" s="729"/>
      <c r="BG109" s="735"/>
      <c r="BH109" s="728">
        <f>IF(BL5=0,0,IF(SUM(BI101:BL101)=0,0,SUM(BI101:BL101)/BL5))</f>
        <v>36</v>
      </c>
      <c r="BI109" s="729"/>
      <c r="BJ109" s="729"/>
      <c r="BK109" s="729"/>
      <c r="BL109" s="729"/>
      <c r="BM109" s="730"/>
      <c r="BN109" s="731">
        <f>IF(BS5=0,0,IF(SUM(BO101:BS101)=0,0,SUM(BO101:BS101)/BS5))</f>
        <v>0</v>
      </c>
      <c r="BO109" s="732"/>
      <c r="BP109" s="732"/>
      <c r="BQ109" s="732"/>
      <c r="BR109" s="732"/>
      <c r="BS109" s="732"/>
      <c r="BT109" s="732"/>
      <c r="BU109" s="733"/>
      <c r="BV109" s="732">
        <f>IF(CA5=0,0,IF(SUM(BW101:CA101)=0,0,SUM(BW101:CA101)/CA5))</f>
        <v>0</v>
      </c>
      <c r="BW109" s="732"/>
      <c r="BX109" s="732"/>
      <c r="BY109" s="732"/>
      <c r="BZ109" s="732"/>
      <c r="CA109" s="732"/>
      <c r="CB109" s="732"/>
      <c r="CC109" s="733"/>
      <c r="CD109" s="366"/>
      <c r="CE109" s="366"/>
    </row>
    <row r="110" spans="1:83" s="123" customFormat="1" ht="12.75" customHeight="1" x14ac:dyDescent="0.2">
      <c r="A110" s="390"/>
      <c r="B110" s="713" t="s">
        <v>224</v>
      </c>
      <c r="C110" s="714"/>
      <c r="D110" s="714"/>
      <c r="E110" s="714"/>
      <c r="F110" s="714"/>
      <c r="G110" s="714"/>
      <c r="H110" s="714"/>
      <c r="I110" s="714"/>
      <c r="J110" s="714"/>
      <c r="K110" s="725">
        <f>R110+X110+AD110+AJ110+AP110+AV110+BB110+BH110+BN110+BV110</f>
        <v>14</v>
      </c>
      <c r="L110" s="726"/>
      <c r="M110" s="726" t="s">
        <v>252</v>
      </c>
      <c r="N110" s="726"/>
      <c r="O110" s="726"/>
      <c r="P110" s="726">
        <f>V110+AB110+AH110+AN110+AT110+AZ110+BF110+BL110+BS110+CA110</f>
        <v>14</v>
      </c>
      <c r="Q110" s="726"/>
      <c r="R110" s="727">
        <f>COUNTIF($D$11:$D$82,"*1*")</f>
        <v>0</v>
      </c>
      <c r="S110" s="711"/>
      <c r="T110" s="711" t="s">
        <v>252</v>
      </c>
      <c r="U110" s="711"/>
      <c r="V110" s="711">
        <f>COUNTIF($D$11:$D$82,"*1*")-DCOUNTA($A$10:$H$82,"5",E117:F118)</f>
        <v>0</v>
      </c>
      <c r="W110" s="711"/>
      <c r="X110" s="722">
        <f>COUNTIF($D$11:$D$82,"*2*")</f>
        <v>3</v>
      </c>
      <c r="Y110" s="711"/>
      <c r="Z110" s="711" t="s">
        <v>252</v>
      </c>
      <c r="AA110" s="711"/>
      <c r="AB110" s="711">
        <f>COUNTIF($D$11:$D$82,"*2*")-DCOUNTA($A$10:$H$82,"5",E119:F120)</f>
        <v>3</v>
      </c>
      <c r="AC110" s="723"/>
      <c r="AD110" s="711">
        <f>COUNTIF($D$11:$D$82,"*3*")</f>
        <v>2</v>
      </c>
      <c r="AE110" s="711"/>
      <c r="AF110" s="711" t="s">
        <v>252</v>
      </c>
      <c r="AG110" s="711"/>
      <c r="AH110" s="711">
        <f>COUNTIF($D$11:$D$82,"*3*")-DCOUNTA($A$10:$H$82,"5",E121:F122)</f>
        <v>2</v>
      </c>
      <c r="AI110" s="711"/>
      <c r="AJ110" s="722">
        <f>COUNTIF($D$11:$D$82,"*4*")</f>
        <v>2</v>
      </c>
      <c r="AK110" s="711"/>
      <c r="AL110" s="711" t="s">
        <v>252</v>
      </c>
      <c r="AM110" s="711"/>
      <c r="AN110" s="711">
        <f>COUNTIF($D$11:$D$82,"*4*")-DCOUNTA($A$10:$H$82,"5",E123:F124)</f>
        <v>2</v>
      </c>
      <c r="AO110" s="723"/>
      <c r="AP110" s="711">
        <f>COUNTIF($D$11:$D$82,"*5*")</f>
        <v>2</v>
      </c>
      <c r="AQ110" s="711"/>
      <c r="AR110" s="711" t="s">
        <v>252</v>
      </c>
      <c r="AS110" s="711"/>
      <c r="AT110" s="711">
        <f>COUNTIF($D$11:$D$82,"*5*")-DCOUNTA($A$10:$H$82,"5",E125:F126)</f>
        <v>2</v>
      </c>
      <c r="AU110" s="711"/>
      <c r="AV110" s="722">
        <f>COUNTIF($D$11:$D$82,"*6*")</f>
        <v>2</v>
      </c>
      <c r="AW110" s="711"/>
      <c r="AX110" s="711" t="s">
        <v>252</v>
      </c>
      <c r="AY110" s="711"/>
      <c r="AZ110" s="711">
        <f>COUNTIF($D$11:$D$82,"*6*")-DCOUNTA($A$10:$H$82,"5",E127:F128)</f>
        <v>2</v>
      </c>
      <c r="BA110" s="723"/>
      <c r="BB110" s="711">
        <f>COUNTIF($D$11:$D$82,"*7*")</f>
        <v>0</v>
      </c>
      <c r="BC110" s="711"/>
      <c r="BD110" s="711" t="s">
        <v>252</v>
      </c>
      <c r="BE110" s="711"/>
      <c r="BF110" s="711">
        <f>COUNTIF($D$11:$D$82,"*7*")-DCOUNTA($A$10:$H$82,"5",E129:F130)</f>
        <v>0</v>
      </c>
      <c r="BG110" s="711"/>
      <c r="BH110" s="722">
        <f>COUNTIF($D$11:$D$82,"*8*")</f>
        <v>3</v>
      </c>
      <c r="BI110" s="711"/>
      <c r="BJ110" s="711" t="s">
        <v>252</v>
      </c>
      <c r="BK110" s="711"/>
      <c r="BL110" s="711">
        <f>COUNTIF($D$11:$D$82,"*8*")-DCOUNTA($A$10:$H$82,"5",E131:F132)</f>
        <v>3</v>
      </c>
      <c r="BM110" s="723"/>
      <c r="BN110" s="711">
        <f>COUNTIF($D$11:$D$82,"*9*")</f>
        <v>0</v>
      </c>
      <c r="BO110" s="711"/>
      <c r="BP110" s="711"/>
      <c r="BQ110" s="711" t="s">
        <v>252</v>
      </c>
      <c r="BR110" s="711"/>
      <c r="BS110" s="711">
        <f>COUNTIF($D$11:$D$82,"*9*")-DCOUNTA($A$10:$H$82,"5",E133:F134)</f>
        <v>0</v>
      </c>
      <c r="BT110" s="711"/>
      <c r="BU110" s="724"/>
      <c r="BV110" s="710">
        <f>COUNTIF($D$11:$D$82,"*{*")</f>
        <v>0</v>
      </c>
      <c r="BW110" s="711"/>
      <c r="BX110" s="711"/>
      <c r="BY110" s="711" t="s">
        <v>252</v>
      </c>
      <c r="BZ110" s="711"/>
      <c r="CA110" s="711">
        <f>COUNTIF($D$11:$D$82,"*{*")-DCOUNTA($A$10:$H$82,"5",E135:F136)</f>
        <v>0</v>
      </c>
      <c r="CB110" s="711"/>
      <c r="CC110" s="724"/>
      <c r="CD110" s="366"/>
      <c r="CE110" s="366"/>
    </row>
    <row r="111" spans="1:83" s="123" customFormat="1" ht="12.75" customHeight="1" x14ac:dyDescent="0.2">
      <c r="A111" s="390"/>
      <c r="B111" s="713" t="s">
        <v>223</v>
      </c>
      <c r="C111" s="714"/>
      <c r="D111" s="714"/>
      <c r="E111" s="714"/>
      <c r="F111" s="714"/>
      <c r="G111" s="714"/>
      <c r="H111" s="714"/>
      <c r="I111" s="714"/>
      <c r="J111" s="714"/>
      <c r="K111" s="725">
        <f>R111+X111+AD111+AJ111+AP111+AV111+BB111+BH111+BN111+BV111</f>
        <v>47</v>
      </c>
      <c r="L111" s="726"/>
      <c r="M111" s="726" t="s">
        <v>252</v>
      </c>
      <c r="N111" s="726"/>
      <c r="O111" s="726"/>
      <c r="P111" s="726">
        <f>V111+AB111+AH111+AN111+AT111+AZ111+BF111+BL111+BS111+CA111</f>
        <v>39</v>
      </c>
      <c r="Q111" s="726"/>
      <c r="R111" s="727">
        <f>COUNTIF($E$11:$E$82,"*1*")</f>
        <v>3</v>
      </c>
      <c r="S111" s="711"/>
      <c r="T111" s="711" t="s">
        <v>252</v>
      </c>
      <c r="U111" s="711"/>
      <c r="V111" s="711">
        <f>COUNTIF($E$11:$E$82,"*1*")-DCOUNTA($A$10:$H$82,"5",C117:D118)</f>
        <v>2</v>
      </c>
      <c r="W111" s="711"/>
      <c r="X111" s="722">
        <f>COUNTIF($E$11:$E$82,"*2*")</f>
        <v>9</v>
      </c>
      <c r="Y111" s="711"/>
      <c r="Z111" s="711" t="s">
        <v>252</v>
      </c>
      <c r="AA111" s="711"/>
      <c r="AB111" s="711">
        <f>COUNTIF($E$11:$E$82,"*2*")-DCOUNTA($A$10:$H$82,"5",C119:D120)</f>
        <v>8</v>
      </c>
      <c r="AC111" s="723"/>
      <c r="AD111" s="711">
        <f>COUNTIF($E$11:$F$82,"*3*")</f>
        <v>6</v>
      </c>
      <c r="AE111" s="711"/>
      <c r="AF111" s="711" t="s">
        <v>252</v>
      </c>
      <c r="AG111" s="711"/>
      <c r="AH111" s="711">
        <f>COUNTIF($E$11:$F$82,"*3*")-DCOUNTA($A$10:$H$82,"6",C121:D122)</f>
        <v>5</v>
      </c>
      <c r="AI111" s="711"/>
      <c r="AJ111" s="722">
        <f>COUNTIF($E$11:$F$82,"*4*")</f>
        <v>6</v>
      </c>
      <c r="AK111" s="711"/>
      <c r="AL111" s="711" t="s">
        <v>252</v>
      </c>
      <c r="AM111" s="711"/>
      <c r="AN111" s="711">
        <f>COUNTIF($E$11:$F$82,"*4*")-DCOUNTA($A$10:$H$82,"6",C123:D124)</f>
        <v>5</v>
      </c>
      <c r="AO111" s="723"/>
      <c r="AP111" s="711">
        <f>COUNTIF($E$11:$F$82,"*5*")</f>
        <v>5</v>
      </c>
      <c r="AQ111" s="711"/>
      <c r="AR111" s="711" t="s">
        <v>252</v>
      </c>
      <c r="AS111" s="711"/>
      <c r="AT111" s="711">
        <f>COUNTIF($E$11:$F$82,"*5*")-DCOUNTA($A$10:$H$82,"6",C125:D126)</f>
        <v>4</v>
      </c>
      <c r="AU111" s="711"/>
      <c r="AV111" s="722">
        <f>COUNTIF($E$11:$F$82,"*6*")</f>
        <v>6</v>
      </c>
      <c r="AW111" s="711"/>
      <c r="AX111" s="711" t="s">
        <v>252</v>
      </c>
      <c r="AY111" s="711"/>
      <c r="AZ111" s="711">
        <f>COUNTIF($E$11:$F$82,"*6*")-DCOUNTA($A$10:$H$82,"6",C127:D128)</f>
        <v>5</v>
      </c>
      <c r="BA111" s="723"/>
      <c r="BB111" s="711">
        <f>COUNTIF($E$11:$F$82,"*7*")</f>
        <v>1</v>
      </c>
      <c r="BC111" s="711"/>
      <c r="BD111" s="711" t="s">
        <v>252</v>
      </c>
      <c r="BE111" s="711"/>
      <c r="BF111" s="711">
        <f>COUNTIF($E$11:$F$82,"*7*")-DCOUNTA($A$10:$H$82,"6",C129:D130)</f>
        <v>0</v>
      </c>
      <c r="BG111" s="711"/>
      <c r="BH111" s="722">
        <f>COUNTIF($E$11:$F$82,"*8*")</f>
        <v>11</v>
      </c>
      <c r="BI111" s="711"/>
      <c r="BJ111" s="711" t="s">
        <v>252</v>
      </c>
      <c r="BK111" s="711"/>
      <c r="BL111" s="711">
        <f>COUNTIF($E$11:$F$82,"*8*")-DCOUNTA($A$10:$H$82,"6",C131:D132)</f>
        <v>10</v>
      </c>
      <c r="BM111" s="723"/>
      <c r="BN111" s="711">
        <f>COUNTIF($E$11:$E$82,"*9*")</f>
        <v>0</v>
      </c>
      <c r="BO111" s="711"/>
      <c r="BP111" s="711"/>
      <c r="BQ111" s="711" t="s">
        <v>252</v>
      </c>
      <c r="BR111" s="711"/>
      <c r="BS111" s="711">
        <f>COUNTIF($E$11:$E$82,"*9*")-DCOUNTA($A$10:$H$82,"5",C133:D134)</f>
        <v>0</v>
      </c>
      <c r="BT111" s="711"/>
      <c r="BU111" s="724"/>
      <c r="BV111" s="710">
        <f>COUNTIF($E$11:$E$82,"*{*")</f>
        <v>0</v>
      </c>
      <c r="BW111" s="711"/>
      <c r="BX111" s="711"/>
      <c r="BY111" s="711" t="s">
        <v>252</v>
      </c>
      <c r="BZ111" s="711"/>
      <c r="CA111" s="711">
        <f>COUNTIF($E$11:$E$82,"*{*")-DCOUNTA($A$10:$H$82,"5",C135:D136)</f>
        <v>0</v>
      </c>
      <c r="CB111" s="711"/>
      <c r="CC111" s="724"/>
      <c r="CD111" s="366"/>
      <c r="CE111" s="366"/>
    </row>
    <row r="112" spans="1:83" s="123" customFormat="1" ht="12.75" customHeight="1" x14ac:dyDescent="0.2">
      <c r="A112" s="390"/>
      <c r="B112" s="740" t="s">
        <v>537</v>
      </c>
      <c r="C112" s="714"/>
      <c r="D112" s="714"/>
      <c r="E112" s="714"/>
      <c r="F112" s="714"/>
      <c r="G112" s="714"/>
      <c r="H112" s="714"/>
      <c r="I112" s="714"/>
      <c r="J112" s="714"/>
      <c r="K112" s="725">
        <f>R112+X112+AD112+AJ112+AP112+AV112+BB112+BH112+BN112+BV112</f>
        <v>2</v>
      </c>
      <c r="L112" s="726"/>
      <c r="M112" s="726"/>
      <c r="N112" s="726"/>
      <c r="O112" s="726"/>
      <c r="P112" s="726"/>
      <c r="Q112" s="726"/>
      <c r="R112" s="727">
        <f>COUNTIF($G$11:$G$82,"*1*")</f>
        <v>0</v>
      </c>
      <c r="S112" s="711"/>
      <c r="T112" s="711"/>
      <c r="U112" s="711"/>
      <c r="V112" s="711"/>
      <c r="W112" s="711"/>
      <c r="X112" s="722">
        <f>COUNTIF($G$11:$G$82,"*2*")</f>
        <v>0</v>
      </c>
      <c r="Y112" s="711"/>
      <c r="Z112" s="711"/>
      <c r="AA112" s="711"/>
      <c r="AB112" s="711"/>
      <c r="AC112" s="723"/>
      <c r="AD112" s="711">
        <f>COUNTIF($G$11:$G$82,"*3*")</f>
        <v>0</v>
      </c>
      <c r="AE112" s="711"/>
      <c r="AF112" s="711"/>
      <c r="AG112" s="711"/>
      <c r="AH112" s="711"/>
      <c r="AI112" s="711"/>
      <c r="AJ112" s="722">
        <f>COUNTIF($G$11:$G$82,"*4*")</f>
        <v>0</v>
      </c>
      <c r="AK112" s="711"/>
      <c r="AL112" s="711"/>
      <c r="AM112" s="711"/>
      <c r="AN112" s="711"/>
      <c r="AO112" s="723"/>
      <c r="AP112" s="711">
        <f>COUNTIF($G$11:$G$82,"*5*")</f>
        <v>1</v>
      </c>
      <c r="AQ112" s="711"/>
      <c r="AR112" s="711"/>
      <c r="AS112" s="711"/>
      <c r="AT112" s="711"/>
      <c r="AU112" s="711"/>
      <c r="AV112" s="722">
        <f>COUNTIF($G$11:$G$82,"*6*")</f>
        <v>0</v>
      </c>
      <c r="AW112" s="711"/>
      <c r="AX112" s="711"/>
      <c r="AY112" s="711"/>
      <c r="AZ112" s="711"/>
      <c r="BA112" s="723"/>
      <c r="BB112" s="711">
        <f>COUNTIF($G$11:$G$82,"*7*")</f>
        <v>0</v>
      </c>
      <c r="BC112" s="711"/>
      <c r="BD112" s="711"/>
      <c r="BE112" s="711"/>
      <c r="BF112" s="711"/>
      <c r="BG112" s="711"/>
      <c r="BH112" s="722">
        <f>COUNTIF($G$11:$G$82,"*8*")</f>
        <v>1</v>
      </c>
      <c r="BI112" s="711"/>
      <c r="BJ112" s="711"/>
      <c r="BK112" s="711"/>
      <c r="BL112" s="711"/>
      <c r="BM112" s="723"/>
      <c r="BN112" s="711">
        <f>COUNTIF($G$11:$G$82,"*9*")</f>
        <v>0</v>
      </c>
      <c r="BO112" s="711"/>
      <c r="BP112" s="711"/>
      <c r="BQ112" s="711"/>
      <c r="BR112" s="711"/>
      <c r="BS112" s="711"/>
      <c r="BT112" s="711"/>
      <c r="BU112" s="724"/>
      <c r="BV112" s="710">
        <f>COUNTIF($G$11:$G$82,"*Х*")</f>
        <v>0</v>
      </c>
      <c r="BW112" s="711"/>
      <c r="BX112" s="711"/>
      <c r="BY112" s="711"/>
      <c r="BZ112" s="711"/>
      <c r="CA112" s="711"/>
      <c r="CB112" s="711"/>
      <c r="CC112" s="712"/>
      <c r="CD112" s="366"/>
      <c r="CE112" s="366"/>
    </row>
    <row r="113" spans="1:83" s="123" customFormat="1" ht="12.75" customHeight="1" x14ac:dyDescent="0.2">
      <c r="A113" s="391"/>
      <c r="B113" s="740" t="s">
        <v>533</v>
      </c>
      <c r="C113" s="714"/>
      <c r="D113" s="714"/>
      <c r="E113" s="714"/>
      <c r="F113" s="714"/>
      <c r="G113" s="714"/>
      <c r="H113" s="714"/>
      <c r="I113" s="714"/>
      <c r="J113" s="714"/>
      <c r="K113" s="725">
        <f>R113+X113+AD113+AJ113+AP113+AV113+BB113+BH113+BN113+BV113</f>
        <v>24</v>
      </c>
      <c r="L113" s="726"/>
      <c r="M113" s="726"/>
      <c r="N113" s="726"/>
      <c r="O113" s="726"/>
      <c r="P113" s="726"/>
      <c r="Q113" s="726"/>
      <c r="R113" s="727">
        <f>COUNTIF($H$11:$H$82,"*1*")</f>
        <v>10</v>
      </c>
      <c r="S113" s="711"/>
      <c r="T113" s="711"/>
      <c r="U113" s="711"/>
      <c r="V113" s="711"/>
      <c r="W113" s="711"/>
      <c r="X113" s="722">
        <f>COUNTIF($H$11:$H$82,"*2*")</f>
        <v>0</v>
      </c>
      <c r="Y113" s="711"/>
      <c r="Z113" s="711"/>
      <c r="AA113" s="711"/>
      <c r="AB113" s="711"/>
      <c r="AC113" s="723"/>
      <c r="AD113" s="711">
        <f>COUNTIF($H$11:$H$82,"*3*")</f>
        <v>6</v>
      </c>
      <c r="AE113" s="711"/>
      <c r="AF113" s="711"/>
      <c r="AG113" s="711"/>
      <c r="AH113" s="711"/>
      <c r="AI113" s="711"/>
      <c r="AJ113" s="722">
        <f>COUNTIF($H$11:$H$82,"*4*")</f>
        <v>3</v>
      </c>
      <c r="AK113" s="711"/>
      <c r="AL113" s="711"/>
      <c r="AM113" s="711"/>
      <c r="AN113" s="711"/>
      <c r="AO113" s="723"/>
      <c r="AP113" s="711">
        <f>COUNTIF($H$11:$H$82,"*5*")</f>
        <v>4</v>
      </c>
      <c r="AQ113" s="711"/>
      <c r="AR113" s="711"/>
      <c r="AS113" s="711"/>
      <c r="AT113" s="711"/>
      <c r="AU113" s="711"/>
      <c r="AV113" s="722">
        <f>COUNTIF($H$11:$H$82,"*6*")</f>
        <v>1</v>
      </c>
      <c r="AW113" s="711"/>
      <c r="AX113" s="711"/>
      <c r="AY113" s="711"/>
      <c r="AZ113" s="711"/>
      <c r="BA113" s="723"/>
      <c r="BB113" s="711">
        <f>COUNTIF($H$11:$H$82,"*7*")</f>
        <v>0</v>
      </c>
      <c r="BC113" s="711"/>
      <c r="BD113" s="711"/>
      <c r="BE113" s="711"/>
      <c r="BF113" s="711"/>
      <c r="BG113" s="711"/>
      <c r="BH113" s="722">
        <f>COUNTIF($H$11:$H$82,"*8*")</f>
        <v>0</v>
      </c>
      <c r="BI113" s="711"/>
      <c r="BJ113" s="711"/>
      <c r="BK113" s="711"/>
      <c r="BL113" s="711"/>
      <c r="BM113" s="723"/>
      <c r="BN113" s="711">
        <f>COUNTIF($H$11:$H$82,"*9*")</f>
        <v>0</v>
      </c>
      <c r="BO113" s="711"/>
      <c r="BP113" s="711"/>
      <c r="BQ113" s="711"/>
      <c r="BR113" s="711"/>
      <c r="BS113" s="711"/>
      <c r="BT113" s="711"/>
      <c r="BU113" s="724"/>
      <c r="BV113" s="710">
        <f>COUNTIF($H$11:$H$82,"*Х*")</f>
        <v>0</v>
      </c>
      <c r="BW113" s="711"/>
      <c r="BX113" s="711"/>
      <c r="BY113" s="711"/>
      <c r="BZ113" s="711"/>
      <c r="CA113" s="711"/>
      <c r="CB113" s="711"/>
      <c r="CC113" s="712"/>
      <c r="CD113" s="366"/>
      <c r="CE113" s="366"/>
    </row>
    <row r="116" spans="1:83" hidden="1" x14ac:dyDescent="0.2">
      <c r="A116" s="741" t="s">
        <v>250</v>
      </c>
      <c r="B116" s="741"/>
      <c r="C116" s="742" t="s">
        <v>251</v>
      </c>
      <c r="D116" s="742"/>
      <c r="E116" s="742" t="s">
        <v>272</v>
      </c>
      <c r="F116" s="742"/>
    </row>
    <row r="117" spans="1:83" hidden="1" x14ac:dyDescent="0.2">
      <c r="A117" s="470">
        <v>1</v>
      </c>
      <c r="B117" s="394">
        <v>11</v>
      </c>
      <c r="C117" s="395">
        <v>2</v>
      </c>
      <c r="D117" s="396" t="s">
        <v>40</v>
      </c>
      <c r="E117" s="395">
        <v>2</v>
      </c>
      <c r="F117" s="396" t="s">
        <v>39</v>
      </c>
    </row>
    <row r="118" spans="1:83" ht="51" hidden="1" x14ac:dyDescent="0.2">
      <c r="A118" s="470" t="s">
        <v>230</v>
      </c>
      <c r="B118" s="394" t="s">
        <v>140</v>
      </c>
      <c r="C118" s="394" t="s">
        <v>7</v>
      </c>
      <c r="D118" s="397" t="s">
        <v>253</v>
      </c>
      <c r="E118" s="394" t="s">
        <v>7</v>
      </c>
      <c r="F118" s="397" t="s">
        <v>253</v>
      </c>
    </row>
    <row r="119" spans="1:83" hidden="1" x14ac:dyDescent="0.2">
      <c r="A119" s="470">
        <v>1</v>
      </c>
      <c r="B119" s="394">
        <v>21</v>
      </c>
      <c r="C119" s="395">
        <v>2</v>
      </c>
      <c r="D119" s="396" t="s">
        <v>40</v>
      </c>
      <c r="E119" s="395">
        <v>2</v>
      </c>
      <c r="F119" s="396" t="s">
        <v>39</v>
      </c>
    </row>
    <row r="120" spans="1:83" ht="51" hidden="1" x14ac:dyDescent="0.2">
      <c r="A120" s="470" t="s">
        <v>230</v>
      </c>
      <c r="B120" s="394" t="s">
        <v>140</v>
      </c>
      <c r="C120" s="394" t="s">
        <v>7</v>
      </c>
      <c r="D120" s="397" t="s">
        <v>254</v>
      </c>
      <c r="E120" s="394" t="s">
        <v>7</v>
      </c>
      <c r="F120" s="397" t="s">
        <v>254</v>
      </c>
    </row>
    <row r="121" spans="1:83" hidden="1" x14ac:dyDescent="0.2">
      <c r="A121" s="470">
        <v>1</v>
      </c>
      <c r="B121" s="394">
        <v>30</v>
      </c>
      <c r="C121" s="395">
        <v>2</v>
      </c>
      <c r="D121" s="440" t="s">
        <v>41</v>
      </c>
      <c r="E121" s="395">
        <v>2</v>
      </c>
      <c r="F121" s="396" t="s">
        <v>39</v>
      </c>
    </row>
    <row r="122" spans="1:83" ht="51" hidden="1" x14ac:dyDescent="0.2">
      <c r="A122" s="470" t="s">
        <v>230</v>
      </c>
      <c r="B122" s="394" t="s">
        <v>140</v>
      </c>
      <c r="C122" s="394" t="s">
        <v>7</v>
      </c>
      <c r="D122" s="397" t="s">
        <v>255</v>
      </c>
      <c r="E122" s="394" t="s">
        <v>7</v>
      </c>
      <c r="F122" s="397" t="s">
        <v>255</v>
      </c>
    </row>
    <row r="123" spans="1:83" hidden="1" x14ac:dyDescent="0.2">
      <c r="A123" s="470">
        <v>1</v>
      </c>
      <c r="B123" s="394">
        <v>39</v>
      </c>
      <c r="C123" s="395">
        <v>2</v>
      </c>
      <c r="D123" s="440" t="s">
        <v>41</v>
      </c>
      <c r="E123" s="395">
        <v>2</v>
      </c>
      <c r="F123" s="396" t="s">
        <v>39</v>
      </c>
    </row>
    <row r="124" spans="1:83" ht="51" hidden="1" x14ac:dyDescent="0.2">
      <c r="A124" s="470" t="s">
        <v>230</v>
      </c>
      <c r="B124" s="394" t="s">
        <v>140</v>
      </c>
      <c r="C124" s="394" t="s">
        <v>7</v>
      </c>
      <c r="D124" s="397" t="s">
        <v>256</v>
      </c>
      <c r="E124" s="394" t="s">
        <v>7</v>
      </c>
      <c r="F124" s="397" t="s">
        <v>256</v>
      </c>
    </row>
    <row r="125" spans="1:83" hidden="1" x14ac:dyDescent="0.2">
      <c r="A125" s="470">
        <v>1</v>
      </c>
      <c r="B125" s="394">
        <v>48</v>
      </c>
      <c r="C125" s="395">
        <v>2</v>
      </c>
      <c r="D125" s="440" t="s">
        <v>41</v>
      </c>
      <c r="E125" s="395">
        <v>2</v>
      </c>
      <c r="F125" s="396" t="s">
        <v>39</v>
      </c>
    </row>
    <row r="126" spans="1:83" ht="51" hidden="1" x14ac:dyDescent="0.2">
      <c r="A126" s="470" t="s">
        <v>230</v>
      </c>
      <c r="B126" s="394" t="s">
        <v>140</v>
      </c>
      <c r="C126" s="394" t="s">
        <v>7</v>
      </c>
      <c r="D126" s="397" t="s">
        <v>257</v>
      </c>
      <c r="E126" s="394" t="s">
        <v>7</v>
      </c>
      <c r="F126" s="397" t="s">
        <v>257</v>
      </c>
    </row>
    <row r="127" spans="1:83" hidden="1" x14ac:dyDescent="0.2">
      <c r="A127" s="470">
        <v>1</v>
      </c>
      <c r="B127" s="394">
        <v>57</v>
      </c>
      <c r="C127" s="395">
        <v>2</v>
      </c>
      <c r="D127" s="440" t="s">
        <v>41</v>
      </c>
      <c r="E127" s="395">
        <v>2</v>
      </c>
      <c r="F127" s="396" t="s">
        <v>39</v>
      </c>
    </row>
    <row r="128" spans="1:83" ht="51" hidden="1" x14ac:dyDescent="0.2">
      <c r="A128" s="470" t="s">
        <v>230</v>
      </c>
      <c r="B128" s="394" t="s">
        <v>140</v>
      </c>
      <c r="C128" s="394" t="s">
        <v>7</v>
      </c>
      <c r="D128" s="397" t="s">
        <v>258</v>
      </c>
      <c r="E128" s="394" t="s">
        <v>7</v>
      </c>
      <c r="F128" s="397" t="s">
        <v>258</v>
      </c>
    </row>
    <row r="129" spans="1:61" hidden="1" x14ac:dyDescent="0.2">
      <c r="A129" s="470">
        <v>1</v>
      </c>
      <c r="B129" s="394">
        <v>66</v>
      </c>
      <c r="C129" s="395">
        <v>2</v>
      </c>
      <c r="D129" s="440" t="s">
        <v>41</v>
      </c>
      <c r="E129" s="395">
        <v>2</v>
      </c>
      <c r="F129" s="396" t="s">
        <v>39</v>
      </c>
    </row>
    <row r="130" spans="1:61" ht="51" hidden="1" x14ac:dyDescent="0.2">
      <c r="A130" s="470" t="s">
        <v>230</v>
      </c>
      <c r="B130" s="394" t="s">
        <v>140</v>
      </c>
      <c r="C130" s="394" t="s">
        <v>7</v>
      </c>
      <c r="D130" s="397" t="s">
        <v>259</v>
      </c>
      <c r="E130" s="394" t="s">
        <v>7</v>
      </c>
      <c r="F130" s="397" t="s">
        <v>259</v>
      </c>
    </row>
    <row r="131" spans="1:61" hidden="1" x14ac:dyDescent="0.2">
      <c r="A131" s="470">
        <v>1</v>
      </c>
      <c r="B131" s="394">
        <v>75</v>
      </c>
      <c r="C131" s="395">
        <v>2</v>
      </c>
      <c r="D131" s="440" t="s">
        <v>41</v>
      </c>
      <c r="E131" s="395">
        <v>2</v>
      </c>
      <c r="F131" s="396" t="s">
        <v>39</v>
      </c>
    </row>
    <row r="132" spans="1:61" ht="51" hidden="1" x14ac:dyDescent="0.2">
      <c r="A132" s="470" t="s">
        <v>230</v>
      </c>
      <c r="B132" s="394" t="s">
        <v>140</v>
      </c>
      <c r="C132" s="394" t="s">
        <v>7</v>
      </c>
      <c r="D132" s="397" t="s">
        <v>260</v>
      </c>
      <c r="E132" s="394" t="s">
        <v>7</v>
      </c>
      <c r="F132" s="397" t="s">
        <v>260</v>
      </c>
    </row>
    <row r="133" spans="1:61" hidden="1" x14ac:dyDescent="0.2">
      <c r="A133" s="470">
        <v>1</v>
      </c>
      <c r="B133" s="394">
        <v>84</v>
      </c>
      <c r="C133" s="395">
        <v>2</v>
      </c>
      <c r="D133" s="440" t="s">
        <v>41</v>
      </c>
      <c r="E133" s="395">
        <v>2</v>
      </c>
      <c r="F133" s="396" t="s">
        <v>39</v>
      </c>
    </row>
    <row r="134" spans="1:61" ht="51" hidden="1" x14ac:dyDescent="0.2">
      <c r="A134" s="470" t="s">
        <v>230</v>
      </c>
      <c r="B134" s="394" t="s">
        <v>140</v>
      </c>
      <c r="C134" s="394" t="s">
        <v>7</v>
      </c>
      <c r="D134" s="397" t="s">
        <v>261</v>
      </c>
      <c r="E134" s="394" t="s">
        <v>7</v>
      </c>
      <c r="F134" s="397" t="s">
        <v>261</v>
      </c>
    </row>
    <row r="135" spans="1:61" hidden="1" x14ac:dyDescent="0.2">
      <c r="A135" s="470">
        <v>1</v>
      </c>
      <c r="B135" s="394">
        <v>93</v>
      </c>
      <c r="C135" s="395">
        <v>2</v>
      </c>
      <c r="D135" s="440" t="s">
        <v>41</v>
      </c>
      <c r="E135" s="395">
        <v>2</v>
      </c>
      <c r="F135" s="396" t="s">
        <v>39</v>
      </c>
    </row>
    <row r="136" spans="1:61" ht="51" hidden="1" x14ac:dyDescent="0.2">
      <c r="A136" s="470" t="s">
        <v>230</v>
      </c>
      <c r="B136" s="394" t="s">
        <v>140</v>
      </c>
      <c r="C136" s="394" t="s">
        <v>7</v>
      </c>
      <c r="D136" s="397" t="s">
        <v>262</v>
      </c>
      <c r="E136" s="394" t="s">
        <v>7</v>
      </c>
      <c r="F136" s="397" t="s">
        <v>262</v>
      </c>
    </row>
    <row r="137" spans="1:61" hidden="1" x14ac:dyDescent="0.2">
      <c r="A137" s="470">
        <v>1</v>
      </c>
      <c r="B137" s="394">
        <v>102</v>
      </c>
      <c r="C137" s="392"/>
    </row>
    <row r="138" spans="1:61" hidden="1" x14ac:dyDescent="0.2">
      <c r="A138" s="470" t="s">
        <v>230</v>
      </c>
      <c r="B138" s="394" t="s">
        <v>140</v>
      </c>
      <c r="C138" s="392"/>
    </row>
    <row r="140" spans="1:61" ht="38.25" hidden="1" customHeight="1" x14ac:dyDescent="0.2">
      <c r="B140" s="398" t="s">
        <v>458</v>
      </c>
      <c r="C140" s="398"/>
      <c r="D140" s="399">
        <f>SUM(S140:BS140)</f>
        <v>235</v>
      </c>
      <c r="S140" s="400"/>
      <c r="T140" s="393">
        <v>60</v>
      </c>
      <c r="AE140" s="331">
        <v>70</v>
      </c>
      <c r="AG140" s="401"/>
      <c r="AH140" s="402"/>
      <c r="AQ140" s="400"/>
      <c r="AR140" s="393">
        <v>55</v>
      </c>
      <c r="BC140" s="400"/>
      <c r="BD140" s="393">
        <v>50</v>
      </c>
      <c r="BE140" s="403"/>
    </row>
    <row r="141" spans="1:61" hidden="1" x14ac:dyDescent="0.2">
      <c r="S141" s="400"/>
      <c r="T141" s="400"/>
      <c r="AG141" s="401"/>
      <c r="AH141" s="401"/>
      <c r="AQ141" s="400"/>
      <c r="AR141" s="400"/>
      <c r="BC141" s="400"/>
      <c r="BD141" s="400"/>
      <c r="BE141" s="403"/>
    </row>
    <row r="142" spans="1:61" hidden="1" x14ac:dyDescent="0.2">
      <c r="S142" s="400"/>
      <c r="T142" s="400"/>
      <c r="AG142" s="401"/>
      <c r="AH142" s="401"/>
      <c r="AQ142" s="400"/>
      <c r="AR142" s="400"/>
      <c r="BC142" s="400"/>
      <c r="BD142" s="400"/>
      <c r="BE142" s="403"/>
    </row>
    <row r="143" spans="1:61" hidden="1" x14ac:dyDescent="0.2">
      <c r="S143" s="400"/>
      <c r="T143" s="400"/>
      <c r="AG143" s="401"/>
      <c r="AH143" s="401"/>
      <c r="AQ143" s="400"/>
      <c r="AR143" s="400"/>
      <c r="BC143" s="400"/>
      <c r="BD143" s="400"/>
      <c r="BE143" s="403"/>
    </row>
    <row r="144" spans="1:61" ht="15.75" hidden="1" x14ac:dyDescent="0.2">
      <c r="B144" s="312" t="s">
        <v>459</v>
      </c>
      <c r="S144" s="393">
        <f>S101*2+Y101*2+(T101+Z101)*4</f>
        <v>3220</v>
      </c>
      <c r="T144" s="400"/>
      <c r="AE144" s="404">
        <f>AE101*3+AK101*3+AK102*3+(AF101+AL101)*6</f>
        <v>4170</v>
      </c>
      <c r="AG144" s="402"/>
      <c r="AH144" s="401"/>
      <c r="AQ144" s="393">
        <f>AQ101*2+AW101*2+(AR101+AX101)*4+AQ102*2</f>
        <v>1652</v>
      </c>
      <c r="AR144" s="400"/>
      <c r="AW144" s="404"/>
      <c r="BC144" s="393">
        <f>BC101*2+BI101*2+(BD101+BJ101)*4+2*BD140+13*BD140</f>
        <v>2486</v>
      </c>
      <c r="BD144" s="400"/>
      <c r="BE144" s="403"/>
      <c r="BI144" s="404"/>
    </row>
    <row r="145" spans="2:61" ht="15.75" hidden="1" x14ac:dyDescent="0.2">
      <c r="B145" s="312" t="s">
        <v>460</v>
      </c>
      <c r="S145" s="405">
        <f>S144/720</f>
        <v>4.5</v>
      </c>
      <c r="T145" s="400"/>
      <c r="AE145" s="404">
        <f>AE144/720</f>
        <v>5.7916666666666696</v>
      </c>
      <c r="AG145" s="406"/>
      <c r="AH145" s="401"/>
      <c r="AQ145" s="405">
        <f>AQ144/720</f>
        <v>2.2999999999999998</v>
      </c>
      <c r="AR145" s="400"/>
      <c r="AW145" s="404"/>
      <c r="BC145" s="405">
        <f>BC144/720</f>
        <v>3.5</v>
      </c>
      <c r="BD145" s="400"/>
      <c r="BE145" s="403"/>
      <c r="BI145" s="404"/>
    </row>
    <row r="146" spans="2:61" ht="25.5" hidden="1" x14ac:dyDescent="0.2">
      <c r="B146" s="312" t="s">
        <v>453</v>
      </c>
      <c r="S146" s="407">
        <f>T140/S145</f>
        <v>13.33</v>
      </c>
      <c r="T146" s="400"/>
      <c r="AE146" s="313">
        <f>AE140/AE145</f>
        <v>12.0863309352518</v>
      </c>
      <c r="AG146" s="408"/>
      <c r="AH146" s="401"/>
      <c r="AQ146" s="407">
        <f>AR140/AQ145</f>
        <v>23.91</v>
      </c>
      <c r="AR146" s="400"/>
      <c r="AW146" s="404"/>
      <c r="BC146" s="407">
        <f>BD140/BC145</f>
        <v>14.29</v>
      </c>
      <c r="BD146" s="400"/>
      <c r="BE146" s="403"/>
      <c r="BI146" s="404"/>
    </row>
    <row r="147" spans="2:61" ht="15.75" hidden="1" x14ac:dyDescent="0.2">
      <c r="S147" s="409"/>
      <c r="T147" s="400"/>
      <c r="AE147" s="404"/>
      <c r="AQ147" s="404"/>
      <c r="AW147" s="404"/>
      <c r="BD147" s="404"/>
      <c r="BI147" s="404"/>
    </row>
    <row r="148" spans="2:61" ht="15.75" hidden="1" x14ac:dyDescent="0.2">
      <c r="S148" s="404"/>
      <c r="AE148" s="404"/>
      <c r="AQ148" s="404"/>
      <c r="AW148" s="404"/>
      <c r="BD148" s="404"/>
      <c r="BI148" s="404"/>
    </row>
    <row r="149" spans="2:61" hidden="1" x14ac:dyDescent="0.2"/>
    <row r="150" spans="2:61" hidden="1" x14ac:dyDescent="0.2"/>
    <row r="151" spans="2:61" hidden="1" x14ac:dyDescent="0.2">
      <c r="B151" s="398" t="s">
        <v>451</v>
      </c>
      <c r="C151" s="398"/>
      <c r="D151" s="410">
        <f>SUM(S144:BS144)</f>
        <v>11528</v>
      </c>
    </row>
    <row r="152" spans="2:61" hidden="1" x14ac:dyDescent="0.2">
      <c r="B152" s="398" t="s">
        <v>452</v>
      </c>
      <c r="C152" s="398"/>
      <c r="D152" s="410">
        <f>D151/720</f>
        <v>16.011111111111099</v>
      </c>
      <c r="E152" s="400">
        <f>SUM(S145:CO145,BU145)</f>
        <v>16.09</v>
      </c>
    </row>
    <row r="153" spans="2:61" hidden="1" x14ac:dyDescent="0.2">
      <c r="B153" s="398"/>
      <c r="C153" s="398"/>
      <c r="D153" s="411"/>
    </row>
    <row r="154" spans="2:61" ht="25.5" hidden="1" x14ac:dyDescent="0.2">
      <c r="B154" s="398" t="s">
        <v>453</v>
      </c>
      <c r="C154" s="398"/>
      <c r="D154" s="412">
        <f>D140/D152</f>
        <v>14.68</v>
      </c>
      <c r="E154" s="400">
        <f>D140/E152</f>
        <v>14.61</v>
      </c>
    </row>
    <row r="155" spans="2:61" hidden="1" x14ac:dyDescent="0.2"/>
    <row r="156" spans="2:61" hidden="1" x14ac:dyDescent="0.2"/>
    <row r="157" spans="2:61" hidden="1" x14ac:dyDescent="0.2"/>
    <row r="158" spans="2:61" hidden="1" x14ac:dyDescent="0.2"/>
  </sheetData>
  <sheetProtection password="CF70" sheet="1" objects="1" scenarios="1" selectLockedCells="1" sort="0" autoFilter="0" pivotTables="0" selectUnlockedCells="1"/>
  <autoFilter ref="A10:CR10"/>
  <dataConsolidate/>
  <mergeCells count="247">
    <mergeCell ref="X110:Y110"/>
    <mergeCell ref="AF110:AG110"/>
    <mergeCell ref="AH110:AI110"/>
    <mergeCell ref="Z110:AA110"/>
    <mergeCell ref="AB110:AC110"/>
    <mergeCell ref="B24:H24"/>
    <mergeCell ref="AP110:AQ110"/>
    <mergeCell ref="AF111:AG111"/>
    <mergeCell ref="AH111:AI111"/>
    <mergeCell ref="B109:J109"/>
    <mergeCell ref="B108:J108"/>
    <mergeCell ref="B110:J110"/>
    <mergeCell ref="AL111:AM111"/>
    <mergeCell ref="AN111:AO111"/>
    <mergeCell ref="AJ110:AK110"/>
    <mergeCell ref="AL110:AM110"/>
    <mergeCell ref="AN110:AO110"/>
    <mergeCell ref="AJ111:AK111"/>
    <mergeCell ref="B34:H34"/>
    <mergeCell ref="B29:H29"/>
    <mergeCell ref="B105:H105"/>
    <mergeCell ref="B104:H104"/>
    <mergeCell ref="B38:H38"/>
    <mergeCell ref="B39:H39"/>
    <mergeCell ref="A116:B116"/>
    <mergeCell ref="C116:D116"/>
    <mergeCell ref="E116:F116"/>
    <mergeCell ref="K113:Q113"/>
    <mergeCell ref="R113:W113"/>
    <mergeCell ref="X113:AC113"/>
    <mergeCell ref="AD110:AE110"/>
    <mergeCell ref="T111:U111"/>
    <mergeCell ref="V111:W111"/>
    <mergeCell ref="X111:Y111"/>
    <mergeCell ref="Z111:AA111"/>
    <mergeCell ref="AB111:AC111"/>
    <mergeCell ref="AD111:AE111"/>
    <mergeCell ref="AD113:AI113"/>
    <mergeCell ref="K112:Q112"/>
    <mergeCell ref="R112:W112"/>
    <mergeCell ref="X112:AC112"/>
    <mergeCell ref="AD112:AI112"/>
    <mergeCell ref="K110:L110"/>
    <mergeCell ref="M110:O110"/>
    <mergeCell ref="P110:Q110"/>
    <mergeCell ref="R110:S110"/>
    <mergeCell ref="T110:U110"/>
    <mergeCell ref="V110:W110"/>
    <mergeCell ref="AV111:AW111"/>
    <mergeCell ref="AX111:AY111"/>
    <mergeCell ref="AP111:AQ111"/>
    <mergeCell ref="AR111:AS111"/>
    <mergeCell ref="AT111:AU111"/>
    <mergeCell ref="AZ111:BA111"/>
    <mergeCell ref="BH113:BM113"/>
    <mergeCell ref="BN113:BU113"/>
    <mergeCell ref="BN112:BU112"/>
    <mergeCell ref="BD111:BE111"/>
    <mergeCell ref="BF111:BG111"/>
    <mergeCell ref="BH111:BI111"/>
    <mergeCell ref="BJ111:BK111"/>
    <mergeCell ref="BL111:BM111"/>
    <mergeCell ref="BN111:BP111"/>
    <mergeCell ref="AJ113:AO113"/>
    <mergeCell ref="AV113:BA113"/>
    <mergeCell ref="BB113:BG113"/>
    <mergeCell ref="AJ112:AO112"/>
    <mergeCell ref="AP113:AU113"/>
    <mergeCell ref="AV112:BA112"/>
    <mergeCell ref="BV112:CC112"/>
    <mergeCell ref="B113:J113"/>
    <mergeCell ref="BQ111:BR111"/>
    <mergeCell ref="BS111:BU111"/>
    <mergeCell ref="B111:J111"/>
    <mergeCell ref="K111:L111"/>
    <mergeCell ref="M111:O111"/>
    <mergeCell ref="P111:Q111"/>
    <mergeCell ref="R111:S111"/>
    <mergeCell ref="BH112:BM112"/>
    <mergeCell ref="BB112:BG112"/>
    <mergeCell ref="BV113:CC113"/>
    <mergeCell ref="CA111:CC111"/>
    <mergeCell ref="B112:J112"/>
    <mergeCell ref="AP112:AU112"/>
    <mergeCell ref="BV111:BX111"/>
    <mergeCell ref="BY111:BZ111"/>
    <mergeCell ref="BB111:BC111"/>
    <mergeCell ref="BH110:BI110"/>
    <mergeCell ref="BL110:BM110"/>
    <mergeCell ref="BN110:BP110"/>
    <mergeCell ref="BQ110:BR110"/>
    <mergeCell ref="BS110:BU110"/>
    <mergeCell ref="CA110:CC110"/>
    <mergeCell ref="AR110:AS110"/>
    <mergeCell ref="AT110:AU110"/>
    <mergeCell ref="BV110:BX110"/>
    <mergeCell ref="BY110:BZ110"/>
    <mergeCell ref="AZ110:BA110"/>
    <mergeCell ref="BB110:BC110"/>
    <mergeCell ref="BD110:BE110"/>
    <mergeCell ref="BJ110:BK110"/>
    <mergeCell ref="AV110:AW110"/>
    <mergeCell ref="AX110:AY110"/>
    <mergeCell ref="BF110:BG110"/>
    <mergeCell ref="BH109:BM109"/>
    <mergeCell ref="BN109:BU109"/>
    <mergeCell ref="AV108:BA108"/>
    <mergeCell ref="BB108:BG108"/>
    <mergeCell ref="BV107:CC107"/>
    <mergeCell ref="K108:Q108"/>
    <mergeCell ref="R108:W108"/>
    <mergeCell ref="X108:AC108"/>
    <mergeCell ref="AD108:AI108"/>
    <mergeCell ref="AJ108:AO108"/>
    <mergeCell ref="AP108:AU108"/>
    <mergeCell ref="BH108:BM108"/>
    <mergeCell ref="BN108:BU108"/>
    <mergeCell ref="BV108:CC108"/>
    <mergeCell ref="BV109:CC109"/>
    <mergeCell ref="AJ109:AO109"/>
    <mergeCell ref="AP109:AU109"/>
    <mergeCell ref="AV109:BA109"/>
    <mergeCell ref="BB109:BG109"/>
    <mergeCell ref="K109:Q109"/>
    <mergeCell ref="R109:W109"/>
    <mergeCell ref="X109:AC109"/>
    <mergeCell ref="AD109:AI109"/>
    <mergeCell ref="BV106:CC106"/>
    <mergeCell ref="B107:J107"/>
    <mergeCell ref="K107:Q107"/>
    <mergeCell ref="R107:W107"/>
    <mergeCell ref="X107:AC107"/>
    <mergeCell ref="AD107:AI107"/>
    <mergeCell ref="AJ107:AO107"/>
    <mergeCell ref="AP107:AU107"/>
    <mergeCell ref="AV107:BA107"/>
    <mergeCell ref="BB107:BG107"/>
    <mergeCell ref="X106:AC106"/>
    <mergeCell ref="AD106:AI106"/>
    <mergeCell ref="AJ106:AO106"/>
    <mergeCell ref="AP106:AU106"/>
    <mergeCell ref="AV106:BA106"/>
    <mergeCell ref="BB106:BG106"/>
    <mergeCell ref="BH107:BM107"/>
    <mergeCell ref="BN107:BU107"/>
    <mergeCell ref="BH106:BM106"/>
    <mergeCell ref="BN106:BU106"/>
    <mergeCell ref="B106:J106"/>
    <mergeCell ref="K106:Q106"/>
    <mergeCell ref="R106:W106"/>
    <mergeCell ref="B48:H48"/>
    <mergeCell ref="B47:H47"/>
    <mergeCell ref="B49:H49"/>
    <mergeCell ref="BB4:BM4"/>
    <mergeCell ref="R5:S5"/>
    <mergeCell ref="BS6:BT6"/>
    <mergeCell ref="BS5:BT5"/>
    <mergeCell ref="B103:H103"/>
    <mergeCell ref="AJ5:AK5"/>
    <mergeCell ref="BB6:BC6"/>
    <mergeCell ref="B11:H11"/>
    <mergeCell ref="B12:C12"/>
    <mergeCell ref="L5:L9"/>
    <mergeCell ref="M5:P5"/>
    <mergeCell ref="AD5:AE5"/>
    <mergeCell ref="BH6:BI6"/>
    <mergeCell ref="AP6:AQ6"/>
    <mergeCell ref="BH5:BI5"/>
    <mergeCell ref="AV5:AW5"/>
    <mergeCell ref="B101:H101"/>
    <mergeCell ref="B102:H102"/>
    <mergeCell ref="E89:E90"/>
    <mergeCell ref="Q5:Q9"/>
    <mergeCell ref="B83:C83"/>
    <mergeCell ref="B91:C91"/>
    <mergeCell ref="B94:C94"/>
    <mergeCell ref="A99:C99"/>
    <mergeCell ref="A100:C100"/>
    <mergeCell ref="AD6:AE6"/>
    <mergeCell ref="AJ6:AK6"/>
    <mergeCell ref="B28:H28"/>
    <mergeCell ref="BW8:CA8"/>
    <mergeCell ref="R4:AC4"/>
    <mergeCell ref="AD4:AO4"/>
    <mergeCell ref="K4:K9"/>
    <mergeCell ref="L4:Q4"/>
    <mergeCell ref="O6:O9"/>
    <mergeCell ref="N6:N9"/>
    <mergeCell ref="M6:M9"/>
    <mergeCell ref="X5:Y5"/>
    <mergeCell ref="P6:P9"/>
    <mergeCell ref="R6:S6"/>
    <mergeCell ref="T6:V6"/>
    <mergeCell ref="X6:Y6"/>
    <mergeCell ref="BO7:BP7"/>
    <mergeCell ref="AV6:AW6"/>
    <mergeCell ref="BN6:BP6"/>
    <mergeCell ref="BV5:BX5"/>
    <mergeCell ref="AP5:AQ5"/>
    <mergeCell ref="BV6:BX6"/>
    <mergeCell ref="BN5:BP5"/>
    <mergeCell ref="A1:CE1"/>
    <mergeCell ref="A3:A9"/>
    <mergeCell ref="B3:B9"/>
    <mergeCell ref="C3:C9"/>
    <mergeCell ref="D3:H4"/>
    <mergeCell ref="I3:J8"/>
    <mergeCell ref="K3:Q3"/>
    <mergeCell ref="S3:CC3"/>
    <mergeCell ref="CD3:CD9"/>
    <mergeCell ref="CE3:CE9"/>
    <mergeCell ref="BN4:CC4"/>
    <mergeCell ref="D5:D9"/>
    <mergeCell ref="E5:E9"/>
    <mergeCell ref="G5:G9"/>
    <mergeCell ref="H5:H9"/>
    <mergeCell ref="BW7:BX7"/>
    <mergeCell ref="CA6:CB6"/>
    <mergeCell ref="AP4:BA4"/>
    <mergeCell ref="CA5:CB5"/>
    <mergeCell ref="BB5:BC5"/>
    <mergeCell ref="AJ7:AK7"/>
    <mergeCell ref="B61:H61"/>
    <mergeCell ref="B62:H62"/>
    <mergeCell ref="B66:H66"/>
    <mergeCell ref="B67:H67"/>
    <mergeCell ref="B70:H70"/>
    <mergeCell ref="A75:B75"/>
    <mergeCell ref="A69:B69"/>
    <mergeCell ref="A65:B65"/>
    <mergeCell ref="A60:B60"/>
    <mergeCell ref="AJ8:AL8"/>
    <mergeCell ref="AD7:AE7"/>
    <mergeCell ref="AD8:AF8"/>
    <mergeCell ref="X7:Y7"/>
    <mergeCell ref="X8:Z8"/>
    <mergeCell ref="R7:S7"/>
    <mergeCell ref="R8:T8"/>
    <mergeCell ref="BO8:BQ8"/>
    <mergeCell ref="BH7:BI7"/>
    <mergeCell ref="BH8:BJ8"/>
    <mergeCell ref="BB7:BC7"/>
    <mergeCell ref="BB8:BD8"/>
    <mergeCell ref="AV7:AW7"/>
    <mergeCell ref="AV8:AX8"/>
    <mergeCell ref="AP7:AQ7"/>
    <mergeCell ref="AP8:AR8"/>
  </mergeCells>
  <phoneticPr fontId="9" type="noConversion"/>
  <conditionalFormatting sqref="CD35:CD37 CD30:CD33 CD95:CD96 CD68:CD69 CD89:CD90 CD40:CD46 CD74:CD75 CD92:CD93 CD84:CD87 CD63:CD65 CD50:CD60 CD77:CD82 CD13:CD27">
    <cfRule type="expression" dxfId="269" priority="453" stopIfTrue="1">
      <formula>AND(K13&gt;0,CD13=0)</formula>
    </cfRule>
    <cfRule type="expression" dxfId="268" priority="454" stopIfTrue="1">
      <formula>AND(K13=0,CD13&lt;&gt;0)</formula>
    </cfRule>
  </conditionalFormatting>
  <conditionalFormatting sqref="CD30:CD33">
    <cfRule type="expression" dxfId="267" priority="447" stopIfTrue="1">
      <formula>AND(K30&gt;0,CD30=0)</formula>
    </cfRule>
    <cfRule type="expression" dxfId="266" priority="448" stopIfTrue="1">
      <formula>AND(K30=0,CD30&lt;&gt;0)</formula>
    </cfRule>
  </conditionalFormatting>
  <conditionalFormatting sqref="CD35:CD37">
    <cfRule type="expression" dxfId="265" priority="445" stopIfTrue="1">
      <formula>AND(K35&gt;0,CD35=0)</formula>
    </cfRule>
    <cfRule type="expression" dxfId="264" priority="446" stopIfTrue="1">
      <formula>AND(K35=0,CD35&lt;&gt;0)</formula>
    </cfRule>
  </conditionalFormatting>
  <conditionalFormatting sqref="CD84:CD85">
    <cfRule type="expression" dxfId="263" priority="439" stopIfTrue="1">
      <formula>AND(K84&gt;0,CD84=0)</formula>
    </cfRule>
    <cfRule type="expression" dxfId="262" priority="440" stopIfTrue="1">
      <formula>AND(K84=0,CD84&lt;&gt;0)</formula>
    </cfRule>
  </conditionalFormatting>
  <conditionalFormatting sqref="CD84:CD85">
    <cfRule type="expression" dxfId="261" priority="417" stopIfTrue="1">
      <formula>AND(K84&gt;0,CD84=0)</formula>
    </cfRule>
    <cfRule type="expression" dxfId="260" priority="418" stopIfTrue="1">
      <formula>AND(K84=0,CD84&lt;&gt;0)</formula>
    </cfRule>
  </conditionalFormatting>
  <conditionalFormatting sqref="CD89">
    <cfRule type="expression" dxfId="259" priority="411" stopIfTrue="1">
      <formula>AND(K89&gt;0,CD89=0)</formula>
    </cfRule>
    <cfRule type="expression" dxfId="258" priority="412" stopIfTrue="1">
      <formula>AND(K89=0,CD89&lt;&gt;0)</formula>
    </cfRule>
  </conditionalFormatting>
  <conditionalFormatting sqref="CD90">
    <cfRule type="expression" dxfId="257" priority="409" stopIfTrue="1">
      <formula>AND(K90&gt;0,CD90=0)</formula>
    </cfRule>
    <cfRule type="expression" dxfId="256" priority="410" stopIfTrue="1">
      <formula>AND(K90=0,CD90&lt;&gt;0)</formula>
    </cfRule>
  </conditionalFormatting>
  <conditionalFormatting sqref="CD33">
    <cfRule type="expression" dxfId="255" priority="377" stopIfTrue="1">
      <formula>AND(K33&gt;0,CD33=0)</formula>
    </cfRule>
    <cfRule type="expression" dxfId="254" priority="378" stopIfTrue="1">
      <formula>AND(K33=0,CD33&lt;&gt;0)</formula>
    </cfRule>
  </conditionalFormatting>
  <conditionalFormatting sqref="CD71">
    <cfRule type="expression" dxfId="253" priority="373" stopIfTrue="1">
      <formula>AND(K71&gt;0,CD71=0)</formula>
    </cfRule>
    <cfRule type="expression" dxfId="252" priority="374" stopIfTrue="1">
      <formula>AND(K71=0,CD71&lt;&gt;0)</formula>
    </cfRule>
  </conditionalFormatting>
  <conditionalFormatting sqref="CD73">
    <cfRule type="expression" dxfId="251" priority="359" stopIfTrue="1">
      <formula>AND(K73&gt;0,CD73=0)</formula>
    </cfRule>
    <cfRule type="expression" dxfId="250" priority="360" stopIfTrue="1">
      <formula>AND(K73=0,CD73&lt;&gt;0)</formula>
    </cfRule>
  </conditionalFormatting>
  <conditionalFormatting sqref="CD73">
    <cfRule type="expression" dxfId="249" priority="357" stopIfTrue="1">
      <formula>AND(K73&gt;0,CD73=0)</formula>
    </cfRule>
    <cfRule type="expression" dxfId="248" priority="358" stopIfTrue="1">
      <formula>AND(K73=0,CD73&lt;&gt;0)</formula>
    </cfRule>
  </conditionalFormatting>
  <conditionalFormatting sqref="CD73">
    <cfRule type="expression" dxfId="247" priority="355" stopIfTrue="1">
      <formula>AND(K73&gt;0,CD73=0)</formula>
    </cfRule>
    <cfRule type="expression" dxfId="246" priority="356" stopIfTrue="1">
      <formula>AND(K73=0,CD73&lt;&gt;0)</formula>
    </cfRule>
  </conditionalFormatting>
  <conditionalFormatting sqref="CD72">
    <cfRule type="expression" dxfId="245" priority="353" stopIfTrue="1">
      <formula>AND(K72&gt;0,CD72=0)</formula>
    </cfRule>
    <cfRule type="expression" dxfId="244" priority="354" stopIfTrue="1">
      <formula>AND(K72=0,CD72&lt;&gt;0)</formula>
    </cfRule>
  </conditionalFormatting>
  <conditionalFormatting sqref="CD72">
    <cfRule type="expression" dxfId="243" priority="351" stopIfTrue="1">
      <formula>AND(K72&gt;0,CD72=0)</formula>
    </cfRule>
    <cfRule type="expression" dxfId="242" priority="352" stopIfTrue="1">
      <formula>AND(K72=0,CD72&lt;&gt;0)</formula>
    </cfRule>
  </conditionalFormatting>
  <conditionalFormatting sqref="CD72">
    <cfRule type="expression" dxfId="241" priority="349" stopIfTrue="1">
      <formula>AND(K72&gt;0,CD72=0)</formula>
    </cfRule>
    <cfRule type="expression" dxfId="240" priority="350" stopIfTrue="1">
      <formula>AND(K72=0,CD72&lt;&gt;0)</formula>
    </cfRule>
  </conditionalFormatting>
  <conditionalFormatting sqref="CD13:CD19">
    <cfRule type="expression" dxfId="239" priority="347" stopIfTrue="1">
      <formula>AND(K13&gt;0,CD13=0)</formula>
    </cfRule>
    <cfRule type="expression" dxfId="238" priority="348" stopIfTrue="1">
      <formula>AND(K13=0,CD13&lt;&gt;0)</formula>
    </cfRule>
  </conditionalFormatting>
  <conditionalFormatting sqref="CD13:CD19">
    <cfRule type="expression" dxfId="237" priority="345" stopIfTrue="1">
      <formula>AND(K13&gt;0,CD13=0)</formula>
    </cfRule>
    <cfRule type="expression" dxfId="236" priority="346" stopIfTrue="1">
      <formula>AND(K13=0,CD13&lt;&gt;0)</formula>
    </cfRule>
  </conditionalFormatting>
  <conditionalFormatting sqref="CD14:CD19">
    <cfRule type="expression" dxfId="235" priority="343" stopIfTrue="1">
      <formula>AND(K14&gt;0,CD14=0)</formula>
    </cfRule>
    <cfRule type="expression" dxfId="234" priority="344" stopIfTrue="1">
      <formula>AND(K14=0,CD14&lt;&gt;0)</formula>
    </cfRule>
  </conditionalFormatting>
  <conditionalFormatting sqref="CD14:CD19">
    <cfRule type="expression" dxfId="233" priority="341" stopIfTrue="1">
      <formula>AND(K14&gt;0,CD14=0)</formula>
    </cfRule>
    <cfRule type="expression" dxfId="232" priority="342" stopIfTrue="1">
      <formula>AND(K14=0,CD14&lt;&gt;0)</formula>
    </cfRule>
  </conditionalFormatting>
  <conditionalFormatting sqref="CD15:CD19">
    <cfRule type="expression" dxfId="231" priority="339" stopIfTrue="1">
      <formula>AND(K15&gt;0,CD15=0)</formula>
    </cfRule>
    <cfRule type="expression" dxfId="230" priority="340" stopIfTrue="1">
      <formula>AND(K15=0,CD15&lt;&gt;0)</formula>
    </cfRule>
  </conditionalFormatting>
  <conditionalFormatting sqref="CD15:CD19">
    <cfRule type="expression" dxfId="229" priority="337" stopIfTrue="1">
      <formula>AND(K15&gt;0,CD15=0)</formula>
    </cfRule>
    <cfRule type="expression" dxfId="228" priority="338" stopIfTrue="1">
      <formula>AND(K15=0,CD15&lt;&gt;0)</formula>
    </cfRule>
  </conditionalFormatting>
  <conditionalFormatting sqref="CD30:CD33">
    <cfRule type="expression" dxfId="227" priority="329" stopIfTrue="1">
      <formula>AND(K30&gt;0,CD30=0)</formula>
    </cfRule>
    <cfRule type="expression" dxfId="226" priority="330" stopIfTrue="1">
      <formula>AND(K30=0,CD30&lt;&gt;0)</formula>
    </cfRule>
  </conditionalFormatting>
  <conditionalFormatting sqref="CD30:CD33">
    <cfRule type="expression" dxfId="225" priority="327" stopIfTrue="1">
      <formula>AND(K30&gt;0,CD30=0)</formula>
    </cfRule>
    <cfRule type="expression" dxfId="224" priority="328" stopIfTrue="1">
      <formula>AND(K30=0,CD30&lt;&gt;0)</formula>
    </cfRule>
  </conditionalFormatting>
  <conditionalFormatting sqref="CD33">
    <cfRule type="expression" dxfId="223" priority="325" stopIfTrue="1">
      <formula>AND(K33&gt;0,CD33=0)</formula>
    </cfRule>
    <cfRule type="expression" dxfId="222" priority="326" stopIfTrue="1">
      <formula>AND(K33=0,CD33&lt;&gt;0)</formula>
    </cfRule>
  </conditionalFormatting>
  <conditionalFormatting sqref="CD35:CD37">
    <cfRule type="expression" dxfId="221" priority="323" stopIfTrue="1">
      <formula>AND(K35&gt;0,CD35=0)</formula>
    </cfRule>
    <cfRule type="expression" dxfId="220" priority="324" stopIfTrue="1">
      <formula>AND(K35=0,CD35&lt;&gt;0)</formula>
    </cfRule>
  </conditionalFormatting>
  <conditionalFormatting sqref="CD35:CD37">
    <cfRule type="expression" dxfId="219" priority="321" stopIfTrue="1">
      <formula>AND(K35&gt;0,CD35=0)</formula>
    </cfRule>
    <cfRule type="expression" dxfId="218" priority="322" stopIfTrue="1">
      <formula>AND(K35=0,CD35&lt;&gt;0)</formula>
    </cfRule>
  </conditionalFormatting>
  <conditionalFormatting sqref="CD40:CD46">
    <cfRule type="expression" dxfId="217" priority="319" stopIfTrue="1">
      <formula>AND(K40&gt;0,CD40=0)</formula>
    </cfRule>
    <cfRule type="expression" dxfId="216" priority="320" stopIfTrue="1">
      <formula>AND(K40=0,CD40&lt;&gt;0)</formula>
    </cfRule>
  </conditionalFormatting>
  <conditionalFormatting sqref="CD50:CD59">
    <cfRule type="expression" dxfId="215" priority="317" stopIfTrue="1">
      <formula>AND(K50&gt;0,CD50=0)</formula>
    </cfRule>
    <cfRule type="expression" dxfId="214" priority="318" stopIfTrue="1">
      <formula>AND(K50=0,CD50&lt;&gt;0)</formula>
    </cfRule>
  </conditionalFormatting>
  <conditionalFormatting sqref="CD63">
    <cfRule type="expression" dxfId="213" priority="311" stopIfTrue="1">
      <formula>AND(K63&gt;0,CD63=0)</formula>
    </cfRule>
    <cfRule type="expression" dxfId="212" priority="312" stopIfTrue="1">
      <formula>AND(K63=0,CD63&lt;&gt;0)</formula>
    </cfRule>
  </conditionalFormatting>
  <conditionalFormatting sqref="CD64">
    <cfRule type="expression" dxfId="211" priority="309" stopIfTrue="1">
      <formula>AND(K64&gt;0,CD64=0)</formula>
    </cfRule>
    <cfRule type="expression" dxfId="210" priority="310" stopIfTrue="1">
      <formula>AND(K64=0,CD64&lt;&gt;0)</formula>
    </cfRule>
  </conditionalFormatting>
  <conditionalFormatting sqref="CD71">
    <cfRule type="expression" dxfId="209" priority="307" stopIfTrue="1">
      <formula>AND(K71&gt;0,CD71=0)</formula>
    </cfRule>
    <cfRule type="expression" dxfId="208" priority="308" stopIfTrue="1">
      <formula>AND(K71=0,CD71&lt;&gt;0)</formula>
    </cfRule>
  </conditionalFormatting>
  <conditionalFormatting sqref="CD73">
    <cfRule type="expression" dxfId="207" priority="305" stopIfTrue="1">
      <formula>AND(K73&gt;0,CD73=0)</formula>
    </cfRule>
    <cfRule type="expression" dxfId="206" priority="306" stopIfTrue="1">
      <formula>AND(K73=0,CD73&lt;&gt;0)</formula>
    </cfRule>
  </conditionalFormatting>
  <conditionalFormatting sqref="CD73">
    <cfRule type="expression" dxfId="205" priority="303" stopIfTrue="1">
      <formula>AND(K73&gt;0,CD73=0)</formula>
    </cfRule>
    <cfRule type="expression" dxfId="204" priority="304" stopIfTrue="1">
      <formula>AND(K73=0,CD73&lt;&gt;0)</formula>
    </cfRule>
  </conditionalFormatting>
  <conditionalFormatting sqref="CD73">
    <cfRule type="expression" dxfId="203" priority="301" stopIfTrue="1">
      <formula>AND(K73&gt;0,CD73=0)</formula>
    </cfRule>
    <cfRule type="expression" dxfId="202" priority="302" stopIfTrue="1">
      <formula>AND(K73=0,CD73&lt;&gt;0)</formula>
    </cfRule>
  </conditionalFormatting>
  <conditionalFormatting sqref="CD72">
    <cfRule type="expression" dxfId="201" priority="299" stopIfTrue="1">
      <formula>AND(K72&gt;0,CD72=0)</formula>
    </cfRule>
    <cfRule type="expression" dxfId="200" priority="300" stopIfTrue="1">
      <formula>AND(K72=0,CD72&lt;&gt;0)</formula>
    </cfRule>
  </conditionalFormatting>
  <conditionalFormatting sqref="CD72">
    <cfRule type="expression" dxfId="199" priority="297" stopIfTrue="1">
      <formula>AND(K72&gt;0,CD72=0)</formula>
    </cfRule>
    <cfRule type="expression" dxfId="198" priority="298" stopIfTrue="1">
      <formula>AND(K72=0,CD72&lt;&gt;0)</formula>
    </cfRule>
  </conditionalFormatting>
  <conditionalFormatting sqref="CD72">
    <cfRule type="expression" dxfId="197" priority="295" stopIfTrue="1">
      <formula>AND(K72&gt;0,CD72=0)</formula>
    </cfRule>
    <cfRule type="expression" dxfId="196" priority="296" stopIfTrue="1">
      <formula>AND(K72=0,CD72&lt;&gt;0)</formula>
    </cfRule>
  </conditionalFormatting>
  <conditionalFormatting sqref="CD84">
    <cfRule type="expression" dxfId="195" priority="291" stopIfTrue="1">
      <formula>AND(K84&gt;0,CD84=0)</formula>
    </cfRule>
    <cfRule type="expression" dxfId="194" priority="292" stopIfTrue="1">
      <formula>AND(K84=0,CD84&lt;&gt;0)</formula>
    </cfRule>
  </conditionalFormatting>
  <conditionalFormatting sqref="CD86:CD87">
    <cfRule type="expression" dxfId="193" priority="289" stopIfTrue="1">
      <formula>AND(K86&gt;0,CD86=0)</formula>
    </cfRule>
    <cfRule type="expression" dxfId="192" priority="290" stopIfTrue="1">
      <formula>AND(K86=0,CD86&lt;&gt;0)</formula>
    </cfRule>
  </conditionalFormatting>
  <conditionalFormatting sqref="CD15">
    <cfRule type="expression" dxfId="191" priority="263" stopIfTrue="1">
      <formula>AND(K15&gt;0,CD15=0)</formula>
    </cfRule>
    <cfRule type="expression" dxfId="190" priority="264" stopIfTrue="1">
      <formula>AND(K15=0,CD15&lt;&gt;0)</formula>
    </cfRule>
  </conditionalFormatting>
  <conditionalFormatting sqref="CD13:CD18">
    <cfRule type="expression" dxfId="189" priority="261" stopIfTrue="1">
      <formula>AND(K13&gt;0,CD13=0)</formula>
    </cfRule>
    <cfRule type="expression" dxfId="188" priority="262" stopIfTrue="1">
      <formula>AND(K13=0,CD13&lt;&gt;0)</formula>
    </cfRule>
  </conditionalFormatting>
  <conditionalFormatting sqref="CD15">
    <cfRule type="expression" dxfId="187" priority="259" stopIfTrue="1">
      <formula>AND(K15&gt;0,CD15=0)</formula>
    </cfRule>
    <cfRule type="expression" dxfId="186" priority="260" stopIfTrue="1">
      <formula>AND(K15=0,CD15&lt;&gt;0)</formula>
    </cfRule>
  </conditionalFormatting>
  <conditionalFormatting sqref="CD15">
    <cfRule type="expression" dxfId="185" priority="257" stopIfTrue="1">
      <formula>AND(K15&gt;0,CD15=0)</formula>
    </cfRule>
    <cfRule type="expression" dxfId="184" priority="258" stopIfTrue="1">
      <formula>AND(K15=0,CD15&lt;&gt;0)</formula>
    </cfRule>
  </conditionalFormatting>
  <conditionalFormatting sqref="CD15">
    <cfRule type="expression" dxfId="183" priority="255" stopIfTrue="1">
      <formula>AND(K15&gt;0,CD15=0)</formula>
    </cfRule>
    <cfRule type="expression" dxfId="182" priority="256" stopIfTrue="1">
      <formula>AND(K15=0,CD15&lt;&gt;0)</formula>
    </cfRule>
  </conditionalFormatting>
  <conditionalFormatting sqref="CD15">
    <cfRule type="expression" dxfId="181" priority="253" stopIfTrue="1">
      <formula>AND(K15&gt;0,CD15=0)</formula>
    </cfRule>
    <cfRule type="expression" dxfId="180" priority="254" stopIfTrue="1">
      <formula>AND(K15=0,CD15&lt;&gt;0)</formula>
    </cfRule>
  </conditionalFormatting>
  <conditionalFormatting sqref="CD15">
    <cfRule type="expression" dxfId="179" priority="251" stopIfTrue="1">
      <formula>AND(K15&gt;0,CD15=0)</formula>
    </cfRule>
    <cfRule type="expression" dxfId="178" priority="252" stopIfTrue="1">
      <formula>AND(K15=0,CD15&lt;&gt;0)</formula>
    </cfRule>
  </conditionalFormatting>
  <conditionalFormatting sqref="CD21">
    <cfRule type="expression" dxfId="177" priority="233" stopIfTrue="1">
      <formula>AND(K21&gt;0,CD21=0)</formula>
    </cfRule>
    <cfRule type="expression" dxfId="176" priority="234" stopIfTrue="1">
      <formula>AND(K21=0,CD21&lt;&gt;0)</formula>
    </cfRule>
  </conditionalFormatting>
  <conditionalFormatting sqref="CD21">
    <cfRule type="expression" dxfId="175" priority="231" stopIfTrue="1">
      <formula>AND(K21&gt;0,CD21=0)</formula>
    </cfRule>
    <cfRule type="expression" dxfId="174" priority="232" stopIfTrue="1">
      <formula>AND(K21=0,CD21&lt;&gt;0)</formula>
    </cfRule>
  </conditionalFormatting>
  <conditionalFormatting sqref="CD81:CD82">
    <cfRule type="expression" dxfId="173" priority="225" stopIfTrue="1">
      <formula>AND(K81&gt;0,CD81=0)</formula>
    </cfRule>
    <cfRule type="expression" dxfId="172" priority="226" stopIfTrue="1">
      <formula>AND(K81=0,CD81&lt;&gt;0)</formula>
    </cfRule>
  </conditionalFormatting>
  <conditionalFormatting sqref="CD81:CD82">
    <cfRule type="expression" dxfId="171" priority="223" stopIfTrue="1">
      <formula>AND(K81&gt;0,CD81=0)</formula>
    </cfRule>
    <cfRule type="expression" dxfId="170" priority="224" stopIfTrue="1">
      <formula>AND(K81=0,CD81&lt;&gt;0)</formula>
    </cfRule>
  </conditionalFormatting>
  <conditionalFormatting sqref="CD81:CD82">
    <cfRule type="expression" dxfId="169" priority="221" stopIfTrue="1">
      <formula>AND(K81&gt;0,CD81=0)</formula>
    </cfRule>
    <cfRule type="expression" dxfId="168" priority="222" stopIfTrue="1">
      <formula>AND(K81=0,CD81&lt;&gt;0)</formula>
    </cfRule>
  </conditionalFormatting>
  <conditionalFormatting sqref="CD81:CD82">
    <cfRule type="expression" dxfId="167" priority="219" stopIfTrue="1">
      <formula>AND(K81&gt;0,CD81=0)</formula>
    </cfRule>
    <cfRule type="expression" dxfId="166" priority="220" stopIfTrue="1">
      <formula>AND(K81=0,CD81&lt;&gt;0)</formula>
    </cfRule>
  </conditionalFormatting>
  <conditionalFormatting sqref="CD81:CD82">
    <cfRule type="expression" dxfId="165" priority="217" stopIfTrue="1">
      <formula>AND(K81&gt;0,CD81=0)</formula>
    </cfRule>
    <cfRule type="expression" dxfId="164" priority="218" stopIfTrue="1">
      <formula>AND(K81=0,CD81&lt;&gt;0)</formula>
    </cfRule>
  </conditionalFormatting>
  <conditionalFormatting sqref="CD81:CD82">
    <cfRule type="expression" dxfId="163" priority="215" stopIfTrue="1">
      <formula>AND(K81&gt;0,CD81=0)</formula>
    </cfRule>
    <cfRule type="expression" dxfId="162" priority="216" stopIfTrue="1">
      <formula>AND(K81=0,CD81&lt;&gt;0)</formula>
    </cfRule>
  </conditionalFormatting>
  <conditionalFormatting sqref="CD82">
    <cfRule type="expression" dxfId="161" priority="209" stopIfTrue="1">
      <formula>AND(K82&gt;0,CD82=0)</formula>
    </cfRule>
    <cfRule type="expression" dxfId="160" priority="210" stopIfTrue="1">
      <formula>AND(K82=0,CD82&lt;&gt;0)</formula>
    </cfRule>
  </conditionalFormatting>
  <conditionalFormatting sqref="CD82">
    <cfRule type="expression" dxfId="159" priority="207" stopIfTrue="1">
      <formula>AND(K82&gt;0,CD82=0)</formula>
    </cfRule>
    <cfRule type="expression" dxfId="158" priority="208" stopIfTrue="1">
      <formula>AND(K82=0,CD82&lt;&gt;0)</formula>
    </cfRule>
  </conditionalFormatting>
  <conditionalFormatting sqref="CD82">
    <cfRule type="expression" dxfId="157" priority="205" stopIfTrue="1">
      <formula>AND(K82&gt;0,CD82=0)</formula>
    </cfRule>
    <cfRule type="expression" dxfId="156" priority="206" stopIfTrue="1">
      <formula>AND(K82=0,CD82&lt;&gt;0)</formula>
    </cfRule>
  </conditionalFormatting>
  <conditionalFormatting sqref="CD59">
    <cfRule type="expression" dxfId="155" priority="203" stopIfTrue="1">
      <formula>AND(K59&gt;0,CD59=0)</formula>
    </cfRule>
    <cfRule type="expression" dxfId="154" priority="204" stopIfTrue="1">
      <formula>AND(K59=0,CD59&lt;&gt;0)</formula>
    </cfRule>
  </conditionalFormatting>
  <conditionalFormatting sqref="CD59">
    <cfRule type="expression" dxfId="153" priority="201" stopIfTrue="1">
      <formula>AND(K59&gt;0,CD59=0)</formula>
    </cfRule>
    <cfRule type="expression" dxfId="152" priority="202" stopIfTrue="1">
      <formula>AND(K59=0,CD59&lt;&gt;0)</formula>
    </cfRule>
  </conditionalFormatting>
  <conditionalFormatting sqref="CD92">
    <cfRule type="expression" dxfId="151" priority="199" stopIfTrue="1">
      <formula>AND(K92&gt;0,CD92=0)</formula>
    </cfRule>
    <cfRule type="expression" dxfId="150" priority="200" stopIfTrue="1">
      <formula>AND(K92=0,CD92&lt;&gt;0)</formula>
    </cfRule>
  </conditionalFormatting>
  <conditionalFormatting sqref="CD92">
    <cfRule type="expression" dxfId="149" priority="197" stopIfTrue="1">
      <formula>AND(K92&gt;0,CD92=0)</formula>
    </cfRule>
    <cfRule type="expression" dxfId="148" priority="198" stopIfTrue="1">
      <formula>AND(K92=0,CD92&lt;&gt;0)</formula>
    </cfRule>
  </conditionalFormatting>
  <conditionalFormatting sqref="CD93">
    <cfRule type="expression" dxfId="147" priority="195" stopIfTrue="1">
      <formula>AND(K93&gt;0,CD93=0)</formula>
    </cfRule>
    <cfRule type="expression" dxfId="146" priority="196" stopIfTrue="1">
      <formula>AND(K93=0,CD93&lt;&gt;0)</formula>
    </cfRule>
  </conditionalFormatting>
  <conditionalFormatting sqref="CD93">
    <cfRule type="expression" dxfId="145" priority="193" stopIfTrue="1">
      <formula>AND(K93&gt;0,CD93=0)</formula>
    </cfRule>
    <cfRule type="expression" dxfId="144" priority="194" stopIfTrue="1">
      <formula>AND(K93=0,CD93&lt;&gt;0)</formula>
    </cfRule>
  </conditionalFormatting>
  <conditionalFormatting sqref="CD95">
    <cfRule type="expression" dxfId="143" priority="191" stopIfTrue="1">
      <formula>AND(K95&gt;0,CD95=0)</formula>
    </cfRule>
    <cfRule type="expression" dxfId="142" priority="192" stopIfTrue="1">
      <formula>AND(K95=0,CD95&lt;&gt;0)</formula>
    </cfRule>
  </conditionalFormatting>
  <conditionalFormatting sqref="CD95">
    <cfRule type="expression" dxfId="141" priority="189" stopIfTrue="1">
      <formula>AND(K95&gt;0,CD95=0)</formula>
    </cfRule>
    <cfRule type="expression" dxfId="140" priority="190" stopIfTrue="1">
      <formula>AND(K95=0,CD95&lt;&gt;0)</formula>
    </cfRule>
  </conditionalFormatting>
  <conditionalFormatting sqref="CD96">
    <cfRule type="expression" dxfId="139" priority="187" stopIfTrue="1">
      <formula>AND(K96&gt;0,CD96=0)</formula>
    </cfRule>
    <cfRule type="expression" dxfId="138" priority="188" stopIfTrue="1">
      <formula>AND(K96=0,CD96&lt;&gt;0)</formula>
    </cfRule>
  </conditionalFormatting>
  <conditionalFormatting sqref="CD96">
    <cfRule type="expression" dxfId="137" priority="185" stopIfTrue="1">
      <formula>AND(K96&gt;0,CD96=0)</formula>
    </cfRule>
    <cfRule type="expression" dxfId="136" priority="186" stopIfTrue="1">
      <formula>AND(K96=0,CD96&lt;&gt;0)</formula>
    </cfRule>
  </conditionalFormatting>
  <conditionalFormatting sqref="CD13:CD19">
    <cfRule type="expression" dxfId="135" priority="183" stopIfTrue="1">
      <formula>AND(K13&gt;0,CD13=0)</formula>
    </cfRule>
    <cfRule type="expression" dxfId="134" priority="184" stopIfTrue="1">
      <formula>AND(K13=0,CD13&lt;&gt;0)</formula>
    </cfRule>
  </conditionalFormatting>
  <conditionalFormatting sqref="CD13:CD19">
    <cfRule type="expression" dxfId="133" priority="177" stopIfTrue="1">
      <formula>AND(K13&gt;0,CD13=0)</formula>
    </cfRule>
    <cfRule type="expression" dxfId="132" priority="178" stopIfTrue="1">
      <formula>AND(K13=0,CD13&lt;&gt;0)</formula>
    </cfRule>
  </conditionalFormatting>
  <conditionalFormatting sqref="CD13:CD19">
    <cfRule type="expression" dxfId="131" priority="175" stopIfTrue="1">
      <formula>AND(K13&gt;0,CD13=0)</formula>
    </cfRule>
    <cfRule type="expression" dxfId="130" priority="176" stopIfTrue="1">
      <formula>AND(K13=0,CD13&lt;&gt;0)</formula>
    </cfRule>
  </conditionalFormatting>
  <conditionalFormatting sqref="CD14:CD19">
    <cfRule type="expression" dxfId="129" priority="173" stopIfTrue="1">
      <formula>AND(K14&gt;0,CD14=0)</formula>
    </cfRule>
    <cfRule type="expression" dxfId="128" priority="174" stopIfTrue="1">
      <formula>AND(K14=0,CD14&lt;&gt;0)</formula>
    </cfRule>
  </conditionalFormatting>
  <conditionalFormatting sqref="CD14:CD19">
    <cfRule type="expression" dxfId="127" priority="171" stopIfTrue="1">
      <formula>AND(K14&gt;0,CD14=0)</formula>
    </cfRule>
    <cfRule type="expression" dxfId="126" priority="172" stopIfTrue="1">
      <formula>AND(K14=0,CD14&lt;&gt;0)</formula>
    </cfRule>
  </conditionalFormatting>
  <conditionalFormatting sqref="CD15:CD19">
    <cfRule type="expression" dxfId="125" priority="169" stopIfTrue="1">
      <formula>AND(K15&gt;0,CD15=0)</formula>
    </cfRule>
    <cfRule type="expression" dxfId="124" priority="170" stopIfTrue="1">
      <formula>AND(K15=0,CD15&lt;&gt;0)</formula>
    </cfRule>
  </conditionalFormatting>
  <conditionalFormatting sqref="CD15:CD19">
    <cfRule type="expression" dxfId="123" priority="167" stopIfTrue="1">
      <formula>AND(K15&gt;0,CD15=0)</formula>
    </cfRule>
    <cfRule type="expression" dxfId="122" priority="168" stopIfTrue="1">
      <formula>AND(K15=0,CD15&lt;&gt;0)</formula>
    </cfRule>
  </conditionalFormatting>
  <conditionalFormatting sqref="CD15">
    <cfRule type="expression" dxfId="121" priority="135" stopIfTrue="1">
      <formula>AND(K15&gt;0,CD15=0)</formula>
    </cfRule>
    <cfRule type="expression" dxfId="120" priority="136" stopIfTrue="1">
      <formula>AND(K15=0,CD15&lt;&gt;0)</formula>
    </cfRule>
  </conditionalFormatting>
  <conditionalFormatting sqref="CD13:CD18">
    <cfRule type="expression" dxfId="119" priority="133" stopIfTrue="1">
      <formula>AND(K13&gt;0,CD13=0)</formula>
    </cfRule>
    <cfRule type="expression" dxfId="118" priority="134" stopIfTrue="1">
      <formula>AND(K13=0,CD13&lt;&gt;0)</formula>
    </cfRule>
  </conditionalFormatting>
  <conditionalFormatting sqref="CD15">
    <cfRule type="expression" dxfId="117" priority="131" stopIfTrue="1">
      <formula>AND(K15&gt;0,CD15=0)</formula>
    </cfRule>
    <cfRule type="expression" dxfId="116" priority="132" stopIfTrue="1">
      <formula>AND(K15=0,CD15&lt;&gt;0)</formula>
    </cfRule>
  </conditionalFormatting>
  <conditionalFormatting sqref="CD15">
    <cfRule type="expression" dxfId="115" priority="129" stopIfTrue="1">
      <formula>AND(K15&gt;0,CD15=0)</formula>
    </cfRule>
    <cfRule type="expression" dxfId="114" priority="130" stopIfTrue="1">
      <formula>AND(K15=0,CD15&lt;&gt;0)</formula>
    </cfRule>
  </conditionalFormatting>
  <conditionalFormatting sqref="CD15">
    <cfRule type="expression" dxfId="113" priority="127" stopIfTrue="1">
      <formula>AND(K15&gt;0,CD15=0)</formula>
    </cfRule>
    <cfRule type="expression" dxfId="112" priority="128" stopIfTrue="1">
      <formula>AND(K15=0,CD15&lt;&gt;0)</formula>
    </cfRule>
  </conditionalFormatting>
  <conditionalFormatting sqref="CD15">
    <cfRule type="expression" dxfId="111" priority="125" stopIfTrue="1">
      <formula>AND(K15&gt;0,CD15=0)</formula>
    </cfRule>
    <cfRule type="expression" dxfId="110" priority="126" stopIfTrue="1">
      <formula>AND(K15=0,CD15&lt;&gt;0)</formula>
    </cfRule>
  </conditionalFormatting>
  <conditionalFormatting sqref="CD15">
    <cfRule type="expression" dxfId="109" priority="123" stopIfTrue="1">
      <formula>AND(K15&gt;0,CD15=0)</formula>
    </cfRule>
    <cfRule type="expression" dxfId="108" priority="124" stopIfTrue="1">
      <formula>AND(K15=0,CD15&lt;&gt;0)</formula>
    </cfRule>
  </conditionalFormatting>
  <conditionalFormatting sqref="CD21">
    <cfRule type="expression" dxfId="107" priority="105" stopIfTrue="1">
      <formula>AND(K21&gt;0,CD21=0)</formula>
    </cfRule>
    <cfRule type="expression" dxfId="106" priority="106" stopIfTrue="1">
      <formula>AND(K21=0,CD21&lt;&gt;0)</formula>
    </cfRule>
  </conditionalFormatting>
  <conditionalFormatting sqref="CD21">
    <cfRule type="expression" dxfId="105" priority="103" stopIfTrue="1">
      <formula>AND(K21&gt;0,CD21=0)</formula>
    </cfRule>
    <cfRule type="expression" dxfId="104" priority="104" stopIfTrue="1">
      <formula>AND(K21=0,CD21&lt;&gt;0)</formula>
    </cfRule>
  </conditionalFormatting>
  <conditionalFormatting sqref="CD27">
    <cfRule type="expression" dxfId="103" priority="97" stopIfTrue="1">
      <formula>AND(K27&gt;0,CD27=0)</formula>
    </cfRule>
    <cfRule type="expression" dxfId="102" priority="98" stopIfTrue="1">
      <formula>AND(K27=0,CD27&lt;&gt;0)</formula>
    </cfRule>
  </conditionalFormatting>
  <conditionalFormatting sqref="CD15">
    <cfRule type="expression" dxfId="101" priority="95" stopIfTrue="1">
      <formula>AND(K15&gt;0,CD15=0)</formula>
    </cfRule>
    <cfRule type="expression" dxfId="100" priority="96" stopIfTrue="1">
      <formula>AND(K15=0,CD15&lt;&gt;0)</formula>
    </cfRule>
  </conditionalFormatting>
  <conditionalFormatting sqref="CD15">
    <cfRule type="expression" dxfId="99" priority="93" stopIfTrue="1">
      <formula>AND(K15&gt;0,CD15=0)</formula>
    </cfRule>
    <cfRule type="expression" dxfId="98" priority="94" stopIfTrue="1">
      <formula>AND(K15=0,CD15&lt;&gt;0)</formula>
    </cfRule>
  </conditionalFormatting>
  <conditionalFormatting sqref="CD15">
    <cfRule type="expression" dxfId="97" priority="91" stopIfTrue="1">
      <formula>AND(K15&gt;0,CD15=0)</formula>
    </cfRule>
    <cfRule type="expression" dxfId="96" priority="92" stopIfTrue="1">
      <formula>AND(K15=0,CD15&lt;&gt;0)</formula>
    </cfRule>
  </conditionalFormatting>
  <conditionalFormatting sqref="CD15">
    <cfRule type="expression" dxfId="95" priority="89" stopIfTrue="1">
      <formula>AND(K15&gt;0,CD15=0)</formula>
    </cfRule>
    <cfRule type="expression" dxfId="94" priority="90" stopIfTrue="1">
      <formula>AND(K15=0,CD15&lt;&gt;0)</formula>
    </cfRule>
  </conditionalFormatting>
  <conditionalFormatting sqref="CD15">
    <cfRule type="expression" dxfId="93" priority="87" stopIfTrue="1">
      <formula>AND(K15&gt;0,CD15=0)</formula>
    </cfRule>
    <cfRule type="expression" dxfId="92" priority="88" stopIfTrue="1">
      <formula>AND(K15=0,CD15&lt;&gt;0)</formula>
    </cfRule>
  </conditionalFormatting>
  <conditionalFormatting sqref="CD15">
    <cfRule type="expression" dxfId="91" priority="85" stopIfTrue="1">
      <formula>AND(K15&gt;0,CD15=0)</formula>
    </cfRule>
    <cfRule type="expression" dxfId="90" priority="86" stopIfTrue="1">
      <formula>AND(K15=0,CD15&lt;&gt;0)</formula>
    </cfRule>
  </conditionalFormatting>
  <conditionalFormatting sqref="CD27">
    <cfRule type="expression" dxfId="89" priority="83" stopIfTrue="1">
      <formula>AND(K27&gt;0,CD27=0)</formula>
    </cfRule>
    <cfRule type="expression" dxfId="88" priority="84" stopIfTrue="1">
      <formula>AND(K27=0,CD27&lt;&gt;0)</formula>
    </cfRule>
  </conditionalFormatting>
  <conditionalFormatting sqref="CD27">
    <cfRule type="expression" dxfId="87" priority="81" stopIfTrue="1">
      <formula>AND(K27&gt;0,CD27=0)</formula>
    </cfRule>
    <cfRule type="expression" dxfId="86" priority="82" stopIfTrue="1">
      <formula>AND(K27=0,CD27&lt;&gt;0)</formula>
    </cfRule>
  </conditionalFormatting>
  <conditionalFormatting sqref="CD20">
    <cfRule type="expression" dxfId="85" priority="79" stopIfTrue="1">
      <formula>AND(K20&gt;0,CD20=0)</formula>
    </cfRule>
    <cfRule type="expression" dxfId="84" priority="80" stopIfTrue="1">
      <formula>AND(K20=0,CD20&lt;&gt;0)</formula>
    </cfRule>
  </conditionalFormatting>
  <conditionalFormatting sqref="CD20">
    <cfRule type="expression" dxfId="83" priority="77" stopIfTrue="1">
      <formula>AND(K20&gt;0,CD20=0)</formula>
    </cfRule>
    <cfRule type="expression" dxfId="82" priority="78" stopIfTrue="1">
      <formula>AND(K20=0,CD20&lt;&gt;0)</formula>
    </cfRule>
  </conditionalFormatting>
  <conditionalFormatting sqref="CD25">
    <cfRule type="expression" dxfId="81" priority="71" stopIfTrue="1">
      <formula>AND(K25&gt;0,CD25=0)</formula>
    </cfRule>
    <cfRule type="expression" dxfId="80" priority="72" stopIfTrue="1">
      <formula>AND(K25=0,CD25&lt;&gt;0)</formula>
    </cfRule>
  </conditionalFormatting>
  <conditionalFormatting sqref="CD27">
    <cfRule type="expression" dxfId="79" priority="69" stopIfTrue="1">
      <formula>AND(K27&gt;0,CD27=0)</formula>
    </cfRule>
    <cfRule type="expression" dxfId="78" priority="70" stopIfTrue="1">
      <formula>AND(K27=0,CD27&lt;&gt;0)</formula>
    </cfRule>
  </conditionalFormatting>
  <conditionalFormatting sqref="CD15">
    <cfRule type="expression" dxfId="77" priority="67" stopIfTrue="1">
      <formula>AND(K15&gt;0,CD15=0)</formula>
    </cfRule>
    <cfRule type="expression" dxfId="76" priority="68" stopIfTrue="1">
      <formula>AND(K15=0,CD15&lt;&gt;0)</formula>
    </cfRule>
  </conditionalFormatting>
  <conditionalFormatting sqref="CD15">
    <cfRule type="expression" dxfId="75" priority="65" stopIfTrue="1">
      <formula>AND(K15&gt;0,CD15=0)</formula>
    </cfRule>
    <cfRule type="expression" dxfId="74" priority="66" stopIfTrue="1">
      <formula>AND(K15=0,CD15&lt;&gt;0)</formula>
    </cfRule>
  </conditionalFormatting>
  <conditionalFormatting sqref="CD15">
    <cfRule type="expression" dxfId="73" priority="63" stopIfTrue="1">
      <formula>AND(K15&gt;0,CD15=0)</formula>
    </cfRule>
    <cfRule type="expression" dxfId="72" priority="64" stopIfTrue="1">
      <formula>AND(K15=0,CD15&lt;&gt;0)</formula>
    </cfRule>
  </conditionalFormatting>
  <conditionalFormatting sqref="CD15">
    <cfRule type="expression" dxfId="71" priority="61" stopIfTrue="1">
      <formula>AND(K15&gt;0,CD15=0)</formula>
    </cfRule>
    <cfRule type="expression" dxfId="70" priority="62" stopIfTrue="1">
      <formula>AND(K15=0,CD15&lt;&gt;0)</formula>
    </cfRule>
  </conditionalFormatting>
  <conditionalFormatting sqref="CD15">
    <cfRule type="expression" dxfId="69" priority="59" stopIfTrue="1">
      <formula>AND(K15&gt;0,CD15=0)</formula>
    </cfRule>
    <cfRule type="expression" dxfId="68" priority="60" stopIfTrue="1">
      <formula>AND(K15=0,CD15&lt;&gt;0)</formula>
    </cfRule>
  </conditionalFormatting>
  <conditionalFormatting sqref="CD15">
    <cfRule type="expression" dxfId="67" priority="57" stopIfTrue="1">
      <formula>AND(K15&gt;0,CD15=0)</formula>
    </cfRule>
    <cfRule type="expression" dxfId="66" priority="58" stopIfTrue="1">
      <formula>AND(K15=0,CD15&lt;&gt;0)</formula>
    </cfRule>
  </conditionalFormatting>
  <conditionalFormatting sqref="CD27">
    <cfRule type="expression" dxfId="65" priority="55" stopIfTrue="1">
      <formula>AND(K27&gt;0,CD27=0)</formula>
    </cfRule>
    <cfRule type="expression" dxfId="64" priority="56" stopIfTrue="1">
      <formula>AND(K27=0,CD27&lt;&gt;0)</formula>
    </cfRule>
  </conditionalFormatting>
  <conditionalFormatting sqref="CD27">
    <cfRule type="expression" dxfId="63" priority="53" stopIfTrue="1">
      <formula>AND(K27&gt;0,CD27=0)</formula>
    </cfRule>
    <cfRule type="expression" dxfId="62" priority="54" stopIfTrue="1">
      <formula>AND(K27=0,CD27&lt;&gt;0)</formula>
    </cfRule>
  </conditionalFormatting>
  <conditionalFormatting sqref="CD20">
    <cfRule type="expression" dxfId="61" priority="51" stopIfTrue="1">
      <formula>AND(K20&gt;0,CD20=0)</formula>
    </cfRule>
    <cfRule type="expression" dxfId="60" priority="52" stopIfTrue="1">
      <formula>AND(K20=0,CD20&lt;&gt;0)</formula>
    </cfRule>
  </conditionalFormatting>
  <conditionalFormatting sqref="CD20">
    <cfRule type="expression" dxfId="59" priority="49" stopIfTrue="1">
      <formula>AND(K20&gt;0,CD20=0)</formula>
    </cfRule>
    <cfRule type="expression" dxfId="58" priority="50" stopIfTrue="1">
      <formula>AND(K20=0,CD20&lt;&gt;0)</formula>
    </cfRule>
  </conditionalFormatting>
  <conditionalFormatting sqref="CD25">
    <cfRule type="expression" dxfId="57" priority="43" stopIfTrue="1">
      <formula>AND(K25&gt;0,CD25=0)</formula>
    </cfRule>
    <cfRule type="expression" dxfId="56" priority="44" stopIfTrue="1">
      <formula>AND(K25=0,CD25&lt;&gt;0)</formula>
    </cfRule>
  </conditionalFormatting>
  <conditionalFormatting sqref="CD13:CD16 CD22">
    <cfRule type="expression" dxfId="55" priority="41" stopIfTrue="1">
      <formula>AND(B13&gt;0,CD13=0)</formula>
    </cfRule>
    <cfRule type="expression" dxfId="54" priority="42" stopIfTrue="1">
      <formula>AND(B13=0,CD13&lt;&gt;0)</formula>
    </cfRule>
  </conditionalFormatting>
  <conditionalFormatting sqref="CD17">
    <cfRule type="expression" dxfId="53" priority="39" stopIfTrue="1">
      <formula>AND(B17&gt;0,CD17=0)</formula>
    </cfRule>
    <cfRule type="expression" dxfId="52" priority="40" stopIfTrue="1">
      <formula>AND(B17=0,CD17&lt;&gt;0)</formula>
    </cfRule>
  </conditionalFormatting>
  <conditionalFormatting sqref="CD18">
    <cfRule type="expression" dxfId="51" priority="37" stopIfTrue="1">
      <formula>AND(B18&gt;0,CD18=0)</formula>
    </cfRule>
    <cfRule type="expression" dxfId="50" priority="38" stopIfTrue="1">
      <formula>AND(B18=0,CD18&lt;&gt;0)</formula>
    </cfRule>
  </conditionalFormatting>
  <conditionalFormatting sqref="CD19">
    <cfRule type="expression" dxfId="49" priority="35" stopIfTrue="1">
      <formula>AND(B19&gt;0,CD19=0)</formula>
    </cfRule>
    <cfRule type="expression" dxfId="48" priority="36" stopIfTrue="1">
      <formula>AND(B19=0,CD19&lt;&gt;0)</formula>
    </cfRule>
  </conditionalFormatting>
  <conditionalFormatting sqref="CD19">
    <cfRule type="expression" dxfId="47" priority="33" stopIfTrue="1">
      <formula>AND(B19&gt;0,CD19=0)</formula>
    </cfRule>
    <cfRule type="expression" dxfId="46" priority="34" stopIfTrue="1">
      <formula>AND(B19=0,CD19&lt;&gt;0)</formula>
    </cfRule>
  </conditionalFormatting>
  <conditionalFormatting sqref="CD20">
    <cfRule type="expression" dxfId="45" priority="31" stopIfTrue="1">
      <formula>AND(B20&gt;0,CD20=0)</formula>
    </cfRule>
    <cfRule type="expression" dxfId="44" priority="32" stopIfTrue="1">
      <formula>AND(B20=0,CD20&lt;&gt;0)</formula>
    </cfRule>
  </conditionalFormatting>
  <conditionalFormatting sqref="CD21">
    <cfRule type="expression" dxfId="43" priority="29" stopIfTrue="1">
      <formula>AND(B21&gt;0,CD21=0)</formula>
    </cfRule>
    <cfRule type="expression" dxfId="42" priority="30" stopIfTrue="1">
      <formula>AND(B21=0,CD21&lt;&gt;0)</formula>
    </cfRule>
  </conditionalFormatting>
  <conditionalFormatting sqref="CD23">
    <cfRule type="expression" dxfId="41" priority="23" stopIfTrue="1">
      <formula>AND(B23&gt;0,CD23=0)</formula>
    </cfRule>
    <cfRule type="expression" dxfId="40" priority="24" stopIfTrue="1">
      <formula>AND(B23=0,CD23&lt;&gt;0)</formula>
    </cfRule>
  </conditionalFormatting>
  <conditionalFormatting sqref="CD25">
    <cfRule type="expression" dxfId="39" priority="21" stopIfTrue="1">
      <formula>AND(K25&gt;0,CD25=0)</formula>
    </cfRule>
    <cfRule type="expression" dxfId="38" priority="22" stopIfTrue="1">
      <formula>AND(K25=0,CD25&lt;&gt;0)</formula>
    </cfRule>
  </conditionalFormatting>
  <conditionalFormatting sqref="CD25">
    <cfRule type="expression" dxfId="37" priority="19" stopIfTrue="1">
      <formula>AND(K25&gt;0,CD25=0)</formula>
    </cfRule>
    <cfRule type="expression" dxfId="36" priority="20" stopIfTrue="1">
      <formula>AND(K25=0,CD25&lt;&gt;0)</formula>
    </cfRule>
  </conditionalFormatting>
  <conditionalFormatting sqref="CD25">
    <cfRule type="expression" dxfId="35" priority="17" stopIfTrue="1">
      <formula>AND(B25&gt;0,CD25=0)</formula>
    </cfRule>
    <cfRule type="expression" dxfId="34" priority="18" stopIfTrue="1">
      <formula>AND(B25=0,CD25&lt;&gt;0)</formula>
    </cfRule>
  </conditionalFormatting>
  <conditionalFormatting sqref="CD26">
    <cfRule type="expression" dxfId="33" priority="15" stopIfTrue="1">
      <formula>AND(K26&gt;0,CD26=0)</formula>
    </cfRule>
    <cfRule type="expression" dxfId="32" priority="16" stopIfTrue="1">
      <formula>AND(K26=0,CD26&lt;&gt;0)</formula>
    </cfRule>
  </conditionalFormatting>
  <conditionalFormatting sqref="CD26">
    <cfRule type="expression" dxfId="31" priority="13" stopIfTrue="1">
      <formula>AND(K26&gt;0,CD26=0)</formula>
    </cfRule>
    <cfRule type="expression" dxfId="30" priority="14" stopIfTrue="1">
      <formula>AND(K26=0,CD26&lt;&gt;0)</formula>
    </cfRule>
  </conditionalFormatting>
  <conditionalFormatting sqref="CD26">
    <cfRule type="expression" dxfId="29" priority="11" stopIfTrue="1">
      <formula>AND(K26&gt;0,CD26=0)</formula>
    </cfRule>
    <cfRule type="expression" dxfId="28" priority="12" stopIfTrue="1">
      <formula>AND(K26=0,CD26&lt;&gt;0)</formula>
    </cfRule>
  </conditionalFormatting>
  <conditionalFormatting sqref="CD26">
    <cfRule type="expression" dxfId="27" priority="9" stopIfTrue="1">
      <formula>AND(B26&gt;0,CD26=0)</formula>
    </cfRule>
    <cfRule type="expression" dxfId="26" priority="10" stopIfTrue="1">
      <formula>AND(B26=0,CD26&lt;&gt;0)</formula>
    </cfRule>
  </conditionalFormatting>
  <conditionalFormatting sqref="CD27">
    <cfRule type="expression" dxfId="25" priority="7" stopIfTrue="1">
      <formula>AND(K27&gt;0,CD27=0)</formula>
    </cfRule>
    <cfRule type="expression" dxfId="24" priority="8" stopIfTrue="1">
      <formula>AND(K27=0,CD27&lt;&gt;0)</formula>
    </cfRule>
  </conditionalFormatting>
  <conditionalFormatting sqref="CD27">
    <cfRule type="expression" dxfId="23" priority="5" stopIfTrue="1">
      <formula>AND(K27&gt;0,CD27=0)</formula>
    </cfRule>
    <cfRule type="expression" dxfId="22" priority="6" stopIfTrue="1">
      <formula>AND(K27=0,CD27&lt;&gt;0)</formula>
    </cfRule>
  </conditionalFormatting>
  <conditionalFormatting sqref="CD27">
    <cfRule type="expression" dxfId="21" priority="3" stopIfTrue="1">
      <formula>AND(B27&gt;0,CD27=0)</formula>
    </cfRule>
    <cfRule type="expression" dxfId="20" priority="4" stopIfTrue="1">
      <formula>AND(B27=0,CD27&lt;&gt;0)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35" fitToHeight="100" orientation="landscape" r:id="rId1"/>
  <headerFooter alignWithMargins="0">
    <oddFooter>&amp;L&amp;F&amp;C&amp;9&amp;A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workbookViewId="0">
      <selection activeCell="AS33" sqref="AS33:AY34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65" width="3.33203125" style="6" customWidth="1"/>
    <col min="66" max="66" width="5" style="6" customWidth="1"/>
    <col min="67" max="16384" width="2.83203125" style="6"/>
  </cols>
  <sheetData>
    <row r="1" spans="1:66" ht="15.75" customHeight="1" x14ac:dyDescent="0.2">
      <c r="A1" s="201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624" t="s">
        <v>33</v>
      </c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</row>
    <row r="2" spans="1:66" ht="15.75" customHeight="1" x14ac:dyDescent="0.2">
      <c r="A2" s="616" t="s">
        <v>340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25" t="s">
        <v>341</v>
      </c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5"/>
      <c r="AO2" s="625"/>
      <c r="AP2" s="625"/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747" t="s">
        <v>46</v>
      </c>
      <c r="BD2" s="747"/>
      <c r="BE2" s="747"/>
      <c r="BF2" s="747"/>
      <c r="BG2" s="747"/>
      <c r="BH2" s="747"/>
      <c r="BI2" s="747"/>
      <c r="BJ2" s="747"/>
      <c r="BK2" s="747"/>
      <c r="BL2" s="747"/>
      <c r="BM2" s="747"/>
      <c r="BN2" s="747"/>
    </row>
    <row r="3" spans="1:66" ht="15.75" customHeight="1" x14ac:dyDescent="0.2">
      <c r="A3" s="622"/>
      <c r="B3" s="622"/>
      <c r="C3" s="622"/>
      <c r="D3" s="622"/>
      <c r="E3" s="622"/>
      <c r="F3" s="622"/>
      <c r="G3" s="622"/>
      <c r="H3" s="622" t="s">
        <v>562</v>
      </c>
      <c r="I3" s="622"/>
      <c r="J3" s="622"/>
      <c r="K3" s="622"/>
      <c r="L3" s="622"/>
      <c r="M3" s="622"/>
      <c r="N3" s="622"/>
      <c r="O3" s="625" t="s">
        <v>314</v>
      </c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/>
      <c r="AO3" s="625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748" t="s">
        <v>308</v>
      </c>
      <c r="BD3" s="748"/>
      <c r="BE3" s="748"/>
      <c r="BF3" s="748"/>
      <c r="BG3" s="748"/>
      <c r="BH3" s="748"/>
      <c r="BI3" s="748"/>
      <c r="BJ3" s="748"/>
      <c r="BK3" s="748"/>
      <c r="BL3" s="748"/>
      <c r="BM3" s="748"/>
      <c r="BN3" s="748"/>
    </row>
    <row r="4" spans="1:66" ht="15.75" customHeight="1" x14ac:dyDescent="0.2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 t="s">
        <v>26</v>
      </c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751" t="s">
        <v>380</v>
      </c>
      <c r="BD4" s="751"/>
      <c r="BE4" s="751"/>
      <c r="BF4" s="751"/>
      <c r="BG4" s="751"/>
      <c r="BH4" s="751"/>
      <c r="BI4" s="751"/>
      <c r="BJ4" s="751"/>
      <c r="BK4" s="751"/>
      <c r="BL4" s="751"/>
      <c r="BM4" s="751"/>
      <c r="BN4" s="751"/>
    </row>
    <row r="5" spans="1:66" ht="15.75" customHeight="1" x14ac:dyDescent="0.2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0"/>
      <c r="P5" s="200"/>
      <c r="Q5" s="200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8"/>
      <c r="BD5" s="209"/>
      <c r="BE5" s="209"/>
      <c r="BF5" s="210"/>
      <c r="BG5" s="211"/>
      <c r="BH5" s="211"/>
      <c r="BI5" s="211"/>
      <c r="BJ5" s="211"/>
      <c r="BK5" s="211"/>
      <c r="BL5" s="211"/>
      <c r="BM5" s="211"/>
      <c r="BN5" s="209"/>
    </row>
    <row r="6" spans="1:66" ht="15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0"/>
      <c r="P6" s="200"/>
      <c r="Q6" s="200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</row>
    <row r="7" spans="1:66" ht="25.5" x14ac:dyDescent="0.2">
      <c r="A7" s="618" t="s">
        <v>342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/>
      <c r="AU7" s="618"/>
      <c r="AV7" s="618"/>
      <c r="AW7" s="618"/>
      <c r="AX7" s="618"/>
      <c r="AY7" s="618"/>
      <c r="AZ7" s="618"/>
      <c r="BA7" s="618"/>
      <c r="BB7" s="618"/>
      <c r="BC7" s="618"/>
      <c r="BD7" s="618"/>
      <c r="BE7" s="618"/>
      <c r="BF7" s="618"/>
      <c r="BG7" s="618"/>
      <c r="BH7" s="618"/>
      <c r="BI7" s="618"/>
      <c r="BJ7" s="618"/>
      <c r="BK7" s="618"/>
      <c r="BL7" s="618"/>
      <c r="BM7" s="618"/>
      <c r="BN7" s="618"/>
    </row>
    <row r="8" spans="1:66" s="3" customFormat="1" ht="15.75" customHeight="1" x14ac:dyDescent="0.2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03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212"/>
      <c r="AA8" s="752" t="s">
        <v>343</v>
      </c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199"/>
      <c r="AW8" s="199"/>
      <c r="AX8" s="199"/>
      <c r="AY8" s="199"/>
      <c r="AZ8" s="199"/>
      <c r="BA8" s="199"/>
      <c r="BB8" s="199"/>
      <c r="BC8" s="199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</row>
    <row r="9" spans="1:66" s="3" customFormat="1" ht="15.75" customHeight="1" x14ac:dyDescent="0.2">
      <c r="A9" s="597" t="s">
        <v>151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753" t="s">
        <v>519</v>
      </c>
      <c r="P9" s="753"/>
      <c r="Q9" s="753"/>
      <c r="R9" s="753"/>
      <c r="S9" s="753"/>
      <c r="T9" s="753"/>
      <c r="U9" s="753"/>
      <c r="V9" s="753"/>
      <c r="W9" s="753"/>
      <c r="X9" s="753"/>
      <c r="Y9" s="753"/>
      <c r="Z9" s="753"/>
      <c r="AA9" s="753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  <c r="AN9" s="753"/>
      <c r="AO9" s="753"/>
      <c r="AP9" s="753"/>
      <c r="AQ9" s="753"/>
      <c r="AR9" s="753"/>
      <c r="AS9" s="753"/>
      <c r="AT9" s="753"/>
      <c r="AU9" s="753"/>
      <c r="AV9" s="753"/>
      <c r="AW9" s="753"/>
      <c r="AX9" s="753"/>
      <c r="AY9" s="753"/>
      <c r="AZ9" s="753"/>
      <c r="BA9" s="753"/>
      <c r="BB9" s="753"/>
      <c r="BC9" s="754" t="s">
        <v>50</v>
      </c>
      <c r="BD9" s="754"/>
      <c r="BE9" s="754"/>
      <c r="BF9" s="754"/>
      <c r="BG9" s="754"/>
      <c r="BH9" s="754"/>
      <c r="BI9" s="754"/>
      <c r="BJ9" s="754"/>
      <c r="BK9" s="754"/>
      <c r="BL9" s="754"/>
      <c r="BM9" s="754"/>
      <c r="BN9" s="754"/>
    </row>
    <row r="10" spans="1:66" s="3" customFormat="1" ht="15.75" customHeight="1" x14ac:dyDescent="0.2">
      <c r="A10" s="597" t="s">
        <v>148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5" t="s">
        <v>381</v>
      </c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754"/>
      <c r="BD10" s="754"/>
      <c r="BE10" s="754"/>
      <c r="BF10" s="754"/>
      <c r="BG10" s="754"/>
      <c r="BH10" s="754"/>
      <c r="BI10" s="754"/>
      <c r="BJ10" s="754"/>
      <c r="BK10" s="754"/>
      <c r="BL10" s="754"/>
      <c r="BM10" s="754"/>
      <c r="BN10" s="754"/>
    </row>
    <row r="11" spans="1:66" s="3" customFormat="1" ht="15.75" customHeight="1" x14ac:dyDescent="0.2">
      <c r="A11" s="597" t="s">
        <v>190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754"/>
      <c r="BD11" s="754"/>
      <c r="BE11" s="754"/>
      <c r="BF11" s="754"/>
      <c r="BG11" s="754"/>
      <c r="BH11" s="754"/>
      <c r="BI11" s="754"/>
      <c r="BJ11" s="754"/>
      <c r="BK11" s="754"/>
      <c r="BL11" s="754"/>
      <c r="BM11" s="754"/>
      <c r="BN11" s="754"/>
    </row>
    <row r="12" spans="1:66" s="3" customFormat="1" ht="15.75" customHeight="1" x14ac:dyDescent="0.2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754"/>
      <c r="BD12" s="754"/>
      <c r="BE12" s="754"/>
      <c r="BF12" s="754"/>
      <c r="BG12" s="754"/>
      <c r="BH12" s="754"/>
      <c r="BI12" s="754"/>
      <c r="BJ12" s="754"/>
      <c r="BK12" s="754"/>
      <c r="BL12" s="754"/>
      <c r="BM12" s="754"/>
      <c r="BN12" s="754"/>
    </row>
    <row r="13" spans="1:66" s="3" customFormat="1" ht="15.75" customHeight="1" x14ac:dyDescent="0.2">
      <c r="A13" s="597" t="s">
        <v>47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5" t="s">
        <v>149</v>
      </c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749" t="s">
        <v>382</v>
      </c>
      <c r="BD13" s="750"/>
      <c r="BE13" s="750"/>
      <c r="BF13" s="750"/>
      <c r="BG13" s="750"/>
      <c r="BH13" s="750"/>
      <c r="BI13" s="750"/>
      <c r="BJ13" s="750"/>
      <c r="BK13" s="750"/>
      <c r="BL13" s="750"/>
      <c r="BM13" s="750"/>
      <c r="BN13" s="750"/>
    </row>
    <row r="14" spans="1:66" s="3" customFormat="1" ht="15.75" customHeight="1" x14ac:dyDescent="0.2">
      <c r="A14" s="597" t="s">
        <v>152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5" t="s">
        <v>153</v>
      </c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</row>
    <row r="15" spans="1:66" s="3" customFormat="1" ht="15.75" customHeight="1" x14ac:dyDescent="0.2">
      <c r="A15" s="597" t="s">
        <v>48</v>
      </c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755" t="s">
        <v>103</v>
      </c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199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</row>
    <row r="16" spans="1:66" ht="15.75" customHeight="1" x14ac:dyDescent="0.2">
      <c r="A16" s="597" t="s">
        <v>245</v>
      </c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8">
        <v>3</v>
      </c>
      <c r="P16" s="598"/>
      <c r="Q16" s="596" t="s">
        <v>246</v>
      </c>
      <c r="R16" s="596"/>
      <c r="S16" s="596"/>
      <c r="T16" s="598">
        <v>4</v>
      </c>
      <c r="U16" s="598"/>
      <c r="V16" s="626" t="s">
        <v>247</v>
      </c>
      <c r="W16" s="626"/>
      <c r="X16" s="626"/>
      <c r="Y16" s="626"/>
      <c r="Z16" s="626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0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05" t="s">
        <v>49</v>
      </c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40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</row>
    <row r="18" spans="1:66" ht="9" customHeight="1" x14ac:dyDescent="0.2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</row>
    <row r="19" spans="1:66" x14ac:dyDescent="0.2">
      <c r="A19" s="590" t="s">
        <v>10</v>
      </c>
      <c r="B19" s="606" t="s">
        <v>11</v>
      </c>
      <c r="C19" s="607"/>
      <c r="D19" s="607"/>
      <c r="E19" s="608"/>
      <c r="F19" s="593" t="s">
        <v>61</v>
      </c>
      <c r="G19" s="606" t="s">
        <v>25</v>
      </c>
      <c r="H19" s="607"/>
      <c r="I19" s="608"/>
      <c r="J19" s="593" t="s">
        <v>123</v>
      </c>
      <c r="K19" s="606" t="s">
        <v>12</v>
      </c>
      <c r="L19" s="607"/>
      <c r="M19" s="607"/>
      <c r="N19" s="608"/>
      <c r="O19" s="606" t="s">
        <v>13</v>
      </c>
      <c r="P19" s="607"/>
      <c r="Q19" s="607"/>
      <c r="R19" s="608"/>
      <c r="S19" s="593" t="s">
        <v>122</v>
      </c>
      <c r="T19" s="606" t="s">
        <v>14</v>
      </c>
      <c r="U19" s="607"/>
      <c r="V19" s="608"/>
      <c r="W19" s="593" t="s">
        <v>60</v>
      </c>
      <c r="X19" s="606" t="s">
        <v>15</v>
      </c>
      <c r="Y19" s="607"/>
      <c r="Z19" s="608"/>
      <c r="AA19" s="593" t="s">
        <v>118</v>
      </c>
      <c r="AB19" s="606" t="s">
        <v>16</v>
      </c>
      <c r="AC19" s="607"/>
      <c r="AD19" s="607"/>
      <c r="AE19" s="608"/>
      <c r="AF19" s="593" t="s">
        <v>59</v>
      </c>
      <c r="AG19" s="606" t="s">
        <v>17</v>
      </c>
      <c r="AH19" s="607"/>
      <c r="AI19" s="608"/>
      <c r="AJ19" s="593" t="s">
        <v>58</v>
      </c>
      <c r="AK19" s="606" t="s">
        <v>18</v>
      </c>
      <c r="AL19" s="607"/>
      <c r="AM19" s="607"/>
      <c r="AN19" s="608"/>
      <c r="AO19" s="606" t="s">
        <v>19</v>
      </c>
      <c r="AP19" s="607"/>
      <c r="AQ19" s="607"/>
      <c r="AR19" s="608"/>
      <c r="AS19" s="593" t="s">
        <v>121</v>
      </c>
      <c r="AT19" s="606" t="s">
        <v>20</v>
      </c>
      <c r="AU19" s="607"/>
      <c r="AV19" s="608"/>
      <c r="AW19" s="593" t="s">
        <v>117</v>
      </c>
      <c r="AX19" s="606" t="s">
        <v>21</v>
      </c>
      <c r="AY19" s="607"/>
      <c r="AZ19" s="607"/>
      <c r="BA19" s="608"/>
      <c r="BB19" s="599" t="s">
        <v>54</v>
      </c>
      <c r="BC19" s="600"/>
      <c r="BD19" s="600"/>
      <c r="BE19" s="600"/>
      <c r="BF19" s="600"/>
      <c r="BG19" s="600"/>
      <c r="BH19" s="600"/>
      <c r="BI19" s="600"/>
      <c r="BJ19" s="600"/>
      <c r="BK19" s="600"/>
      <c r="BL19" s="600"/>
      <c r="BM19" s="600"/>
      <c r="BN19" s="601"/>
    </row>
    <row r="20" spans="1:66" ht="15.75" customHeight="1" x14ac:dyDescent="0.2">
      <c r="A20" s="591"/>
      <c r="B20" s="609"/>
      <c r="C20" s="610"/>
      <c r="D20" s="610"/>
      <c r="E20" s="611"/>
      <c r="F20" s="594"/>
      <c r="G20" s="609"/>
      <c r="H20" s="610"/>
      <c r="I20" s="611"/>
      <c r="J20" s="594"/>
      <c r="K20" s="609"/>
      <c r="L20" s="610"/>
      <c r="M20" s="610"/>
      <c r="N20" s="611"/>
      <c r="O20" s="609"/>
      <c r="P20" s="610"/>
      <c r="Q20" s="610"/>
      <c r="R20" s="611"/>
      <c r="S20" s="594"/>
      <c r="T20" s="609"/>
      <c r="U20" s="610"/>
      <c r="V20" s="611"/>
      <c r="W20" s="594"/>
      <c r="X20" s="609"/>
      <c r="Y20" s="610"/>
      <c r="Z20" s="611"/>
      <c r="AA20" s="594"/>
      <c r="AB20" s="609"/>
      <c r="AC20" s="610"/>
      <c r="AD20" s="610"/>
      <c r="AE20" s="611"/>
      <c r="AF20" s="594"/>
      <c r="AG20" s="609"/>
      <c r="AH20" s="610"/>
      <c r="AI20" s="611"/>
      <c r="AJ20" s="594"/>
      <c r="AK20" s="609"/>
      <c r="AL20" s="610"/>
      <c r="AM20" s="610"/>
      <c r="AN20" s="611"/>
      <c r="AO20" s="609"/>
      <c r="AP20" s="610"/>
      <c r="AQ20" s="610"/>
      <c r="AR20" s="611"/>
      <c r="AS20" s="594"/>
      <c r="AT20" s="609"/>
      <c r="AU20" s="610"/>
      <c r="AV20" s="611"/>
      <c r="AW20" s="594"/>
      <c r="AX20" s="609"/>
      <c r="AY20" s="610"/>
      <c r="AZ20" s="610"/>
      <c r="BA20" s="611"/>
      <c r="BB20" s="627" t="s">
        <v>8</v>
      </c>
      <c r="BC20" s="628"/>
      <c r="BD20" s="629"/>
      <c r="BE20" s="627" t="s">
        <v>269</v>
      </c>
      <c r="BF20" s="628"/>
      <c r="BG20" s="629"/>
      <c r="BH20" s="602" t="s">
        <v>6</v>
      </c>
      <c r="BI20" s="602" t="s">
        <v>130</v>
      </c>
      <c r="BJ20" s="602" t="s">
        <v>44</v>
      </c>
      <c r="BK20" s="602" t="s">
        <v>55</v>
      </c>
      <c r="BL20" s="602" t="s">
        <v>56</v>
      </c>
      <c r="BM20" s="602" t="s">
        <v>45</v>
      </c>
      <c r="BN20" s="602" t="s">
        <v>1</v>
      </c>
    </row>
    <row r="21" spans="1:66" ht="15.75" customHeight="1" x14ac:dyDescent="0.2">
      <c r="A21" s="591"/>
      <c r="B21" s="7">
        <v>1</v>
      </c>
      <c r="C21" s="7">
        <v>8</v>
      </c>
      <c r="D21" s="7">
        <v>15</v>
      </c>
      <c r="E21" s="7">
        <v>22</v>
      </c>
      <c r="F21" s="636" t="s">
        <v>110</v>
      </c>
      <c r="G21" s="7">
        <v>6</v>
      </c>
      <c r="H21" s="7">
        <v>13</v>
      </c>
      <c r="I21" s="7">
        <v>20</v>
      </c>
      <c r="J21" s="636" t="s">
        <v>111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36" t="s">
        <v>112</v>
      </c>
      <c r="T21" s="7">
        <v>5</v>
      </c>
      <c r="U21" s="7">
        <v>12</v>
      </c>
      <c r="V21" s="7">
        <v>19</v>
      </c>
      <c r="W21" s="636" t="s">
        <v>113</v>
      </c>
      <c r="X21" s="7">
        <v>2</v>
      </c>
      <c r="Y21" s="7">
        <v>9</v>
      </c>
      <c r="Z21" s="7">
        <v>16</v>
      </c>
      <c r="AA21" s="636" t="s">
        <v>119</v>
      </c>
      <c r="AB21" s="7">
        <v>2</v>
      </c>
      <c r="AC21" s="7">
        <v>9</v>
      </c>
      <c r="AD21" s="7">
        <v>16</v>
      </c>
      <c r="AE21" s="7">
        <v>23</v>
      </c>
      <c r="AF21" s="636" t="s">
        <v>115</v>
      </c>
      <c r="AG21" s="7">
        <v>6</v>
      </c>
      <c r="AH21" s="7">
        <v>13</v>
      </c>
      <c r="AI21" s="7">
        <v>20</v>
      </c>
      <c r="AJ21" s="636" t="s">
        <v>116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36" t="s">
        <v>120</v>
      </c>
      <c r="AT21" s="7">
        <v>6</v>
      </c>
      <c r="AU21" s="7">
        <v>13</v>
      </c>
      <c r="AV21" s="7">
        <v>20</v>
      </c>
      <c r="AW21" s="636" t="s">
        <v>114</v>
      </c>
      <c r="AX21" s="7">
        <v>2</v>
      </c>
      <c r="AY21" s="7">
        <v>9</v>
      </c>
      <c r="AZ21" s="7">
        <v>16</v>
      </c>
      <c r="BA21" s="7">
        <v>23</v>
      </c>
      <c r="BB21" s="630"/>
      <c r="BC21" s="631"/>
      <c r="BD21" s="632"/>
      <c r="BE21" s="630"/>
      <c r="BF21" s="631"/>
      <c r="BG21" s="632"/>
      <c r="BH21" s="603"/>
      <c r="BI21" s="603"/>
      <c r="BJ21" s="603"/>
      <c r="BK21" s="603"/>
      <c r="BL21" s="603"/>
      <c r="BM21" s="603"/>
      <c r="BN21" s="603"/>
    </row>
    <row r="22" spans="1:66" ht="18" customHeight="1" x14ac:dyDescent="0.2">
      <c r="A22" s="591"/>
      <c r="B22" s="196">
        <v>7</v>
      </c>
      <c r="C22" s="196">
        <v>14</v>
      </c>
      <c r="D22" s="196">
        <v>21</v>
      </c>
      <c r="E22" s="196">
        <v>28</v>
      </c>
      <c r="F22" s="637"/>
      <c r="G22" s="196">
        <v>12</v>
      </c>
      <c r="H22" s="196">
        <v>19</v>
      </c>
      <c r="I22" s="196">
        <v>26</v>
      </c>
      <c r="J22" s="637"/>
      <c r="K22" s="196">
        <v>9</v>
      </c>
      <c r="L22" s="196">
        <v>16</v>
      </c>
      <c r="M22" s="196">
        <v>23</v>
      </c>
      <c r="N22" s="196">
        <v>30</v>
      </c>
      <c r="O22" s="196">
        <v>7</v>
      </c>
      <c r="P22" s="196">
        <v>14</v>
      </c>
      <c r="Q22" s="196">
        <v>21</v>
      </c>
      <c r="R22" s="196">
        <v>28</v>
      </c>
      <c r="S22" s="637"/>
      <c r="T22" s="196">
        <v>11</v>
      </c>
      <c r="U22" s="196">
        <v>18</v>
      </c>
      <c r="V22" s="196">
        <v>25</v>
      </c>
      <c r="W22" s="637"/>
      <c r="X22" s="196">
        <v>8</v>
      </c>
      <c r="Y22" s="196">
        <v>15</v>
      </c>
      <c r="Z22" s="196">
        <v>22</v>
      </c>
      <c r="AA22" s="637"/>
      <c r="AB22" s="196">
        <v>8</v>
      </c>
      <c r="AC22" s="196">
        <v>15</v>
      </c>
      <c r="AD22" s="196">
        <v>22</v>
      </c>
      <c r="AE22" s="196">
        <v>29</v>
      </c>
      <c r="AF22" s="637"/>
      <c r="AG22" s="196">
        <v>12</v>
      </c>
      <c r="AH22" s="196">
        <v>19</v>
      </c>
      <c r="AI22" s="196">
        <v>26</v>
      </c>
      <c r="AJ22" s="637"/>
      <c r="AK22" s="196">
        <v>10</v>
      </c>
      <c r="AL22" s="196">
        <v>17</v>
      </c>
      <c r="AM22" s="196">
        <v>24</v>
      </c>
      <c r="AN22" s="196">
        <v>31</v>
      </c>
      <c r="AO22" s="196">
        <v>7</v>
      </c>
      <c r="AP22" s="196">
        <v>14</v>
      </c>
      <c r="AQ22" s="196">
        <v>21</v>
      </c>
      <c r="AR22" s="196">
        <v>28</v>
      </c>
      <c r="AS22" s="637"/>
      <c r="AT22" s="196">
        <v>12</v>
      </c>
      <c r="AU22" s="196">
        <v>19</v>
      </c>
      <c r="AV22" s="196">
        <v>26</v>
      </c>
      <c r="AW22" s="637"/>
      <c r="AX22" s="196">
        <v>8</v>
      </c>
      <c r="AY22" s="196">
        <v>15</v>
      </c>
      <c r="AZ22" s="196">
        <v>22</v>
      </c>
      <c r="BA22" s="196">
        <v>31</v>
      </c>
      <c r="BB22" s="633"/>
      <c r="BC22" s="634"/>
      <c r="BD22" s="635"/>
      <c r="BE22" s="633"/>
      <c r="BF22" s="634"/>
      <c r="BG22" s="635"/>
      <c r="BH22" s="603"/>
      <c r="BI22" s="603"/>
      <c r="BJ22" s="603"/>
      <c r="BK22" s="603"/>
      <c r="BL22" s="603"/>
      <c r="BM22" s="603"/>
      <c r="BN22" s="603"/>
    </row>
    <row r="23" spans="1:66" ht="15.75" customHeight="1" x14ac:dyDescent="0.2">
      <c r="A23" s="592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72</v>
      </c>
      <c r="BC23" s="10" t="s">
        <v>32</v>
      </c>
      <c r="BD23" s="11" t="s">
        <v>57</v>
      </c>
      <c r="BE23" s="10" t="s">
        <v>72</v>
      </c>
      <c r="BF23" s="10" t="s">
        <v>32</v>
      </c>
      <c r="BG23" s="11" t="s">
        <v>57</v>
      </c>
      <c r="BH23" s="604"/>
      <c r="BI23" s="604"/>
      <c r="BJ23" s="604"/>
      <c r="BK23" s="604"/>
      <c r="BL23" s="604"/>
      <c r="BM23" s="604"/>
      <c r="BN23" s="604"/>
    </row>
    <row r="24" spans="1:66" ht="15.75" customHeight="1" x14ac:dyDescent="0.2">
      <c r="A24" s="9">
        <v>1</v>
      </c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322" t="s">
        <v>72</v>
      </c>
      <c r="R24" s="41" t="s">
        <v>72</v>
      </c>
      <c r="S24" s="41" t="s">
        <v>28</v>
      </c>
      <c r="T24" s="41" t="s">
        <v>28</v>
      </c>
      <c r="U24" s="41" t="s">
        <v>32</v>
      </c>
      <c r="V24" s="41" t="s">
        <v>32</v>
      </c>
      <c r="W24" s="41" t="s">
        <v>32</v>
      </c>
      <c r="X24" s="41" t="s">
        <v>206</v>
      </c>
      <c r="Y24" s="41" t="s">
        <v>206</v>
      </c>
      <c r="Z24" s="41" t="s">
        <v>206</v>
      </c>
      <c r="AA24" s="41" t="s">
        <v>206</v>
      </c>
      <c r="AB24" s="41" t="s">
        <v>32</v>
      </c>
      <c r="AC24" s="41" t="s">
        <v>32</v>
      </c>
      <c r="AD24" s="41" t="s">
        <v>32</v>
      </c>
      <c r="AE24" s="41" t="s">
        <v>32</v>
      </c>
      <c r="AF24" s="41" t="s">
        <v>32</v>
      </c>
      <c r="AG24" s="41" t="s">
        <v>32</v>
      </c>
      <c r="AH24" s="41" t="s">
        <v>32</v>
      </c>
      <c r="AI24" s="41" t="s">
        <v>32</v>
      </c>
      <c r="AJ24" s="41" t="s">
        <v>32</v>
      </c>
      <c r="AK24" s="41" t="s">
        <v>32</v>
      </c>
      <c r="AL24" s="41" t="s">
        <v>32</v>
      </c>
      <c r="AM24" s="41" t="s">
        <v>32</v>
      </c>
      <c r="AN24" s="41" t="s">
        <v>32</v>
      </c>
      <c r="AO24" s="41" t="s">
        <v>32</v>
      </c>
      <c r="AP24" s="41" t="s">
        <v>32</v>
      </c>
      <c r="AQ24" s="41" t="s">
        <v>32</v>
      </c>
      <c r="AR24" s="41" t="s">
        <v>32</v>
      </c>
      <c r="AS24" s="41" t="s">
        <v>32</v>
      </c>
      <c r="AT24" s="41" t="s">
        <v>32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2</v>
      </c>
      <c r="BC24" s="31">
        <f>COUNTIF(B24:BA24,"в")</f>
        <v>22</v>
      </c>
      <c r="BD24" s="32">
        <f>SUM(BB24:BC24)</f>
        <v>24</v>
      </c>
      <c r="BE24" s="31">
        <f>COUNTIF(B24:BA24,$R$31)</f>
        <v>0</v>
      </c>
      <c r="BF24" s="31">
        <f>COUNTIF(B24:BA24,$R$33)</f>
        <v>4</v>
      </c>
      <c r="BG24" s="32">
        <f>SUM(BE24:BF24)</f>
        <v>4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9</v>
      </c>
      <c r="BN24" s="32">
        <f>SUM(BG24:BM24)+BD24</f>
        <v>37</v>
      </c>
    </row>
    <row r="25" spans="1:66" ht="15.75" customHeight="1" x14ac:dyDescent="0.2">
      <c r="A25" s="9">
        <v>2</v>
      </c>
      <c r="B25" s="41" t="s">
        <v>72</v>
      </c>
      <c r="C25" s="41" t="s">
        <v>72</v>
      </c>
      <c r="D25" s="41" t="s">
        <v>72</v>
      </c>
      <c r="E25" s="41" t="s">
        <v>72</v>
      </c>
      <c r="F25" s="41" t="s">
        <v>72</v>
      </c>
      <c r="G25" s="41" t="s">
        <v>72</v>
      </c>
      <c r="H25" s="41" t="s">
        <v>72</v>
      </c>
      <c r="I25" s="41" t="s">
        <v>72</v>
      </c>
      <c r="J25" s="41" t="s">
        <v>72</v>
      </c>
      <c r="K25" s="41" t="s">
        <v>72</v>
      </c>
      <c r="L25" s="41" t="s">
        <v>72</v>
      </c>
      <c r="M25" s="41" t="s">
        <v>72</v>
      </c>
      <c r="N25" s="41" t="s">
        <v>72</v>
      </c>
      <c r="O25" s="41" t="s">
        <v>72</v>
      </c>
      <c r="P25" s="41" t="s">
        <v>72</v>
      </c>
      <c r="Q25" s="322" t="s">
        <v>72</v>
      </c>
      <c r="R25" s="41" t="s">
        <v>72</v>
      </c>
      <c r="S25" s="41" t="s">
        <v>28</v>
      </c>
      <c r="T25" s="41" t="s">
        <v>28</v>
      </c>
      <c r="U25" s="41" t="s">
        <v>32</v>
      </c>
      <c r="V25" s="41" t="s">
        <v>32</v>
      </c>
      <c r="W25" s="41" t="s">
        <v>32</v>
      </c>
      <c r="X25" s="41" t="s">
        <v>206</v>
      </c>
      <c r="Y25" s="41" t="s">
        <v>206</v>
      </c>
      <c r="Z25" s="41" t="s">
        <v>206</v>
      </c>
      <c r="AA25" s="41" t="s">
        <v>206</v>
      </c>
      <c r="AB25" s="41" t="s">
        <v>32</v>
      </c>
      <c r="AC25" s="41" t="s">
        <v>32</v>
      </c>
      <c r="AD25" s="41" t="s">
        <v>32</v>
      </c>
      <c r="AE25" s="41" t="s">
        <v>28</v>
      </c>
      <c r="AF25" s="41" t="s">
        <v>28</v>
      </c>
      <c r="AG25" s="41" t="s">
        <v>28</v>
      </c>
      <c r="AH25" s="41" t="s">
        <v>28</v>
      </c>
      <c r="AI25" s="41" t="s">
        <v>28</v>
      </c>
      <c r="AJ25" s="41" t="s">
        <v>28</v>
      </c>
      <c r="AK25" s="41" t="s">
        <v>28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51</v>
      </c>
      <c r="AW25" s="41" t="s">
        <v>51</v>
      </c>
      <c r="AX25" s="41" t="s">
        <v>51</v>
      </c>
      <c r="AY25" s="41" t="s">
        <v>51</v>
      </c>
      <c r="AZ25" s="41" t="s">
        <v>51</v>
      </c>
      <c r="BA25" s="41" t="s">
        <v>51</v>
      </c>
      <c r="BB25" s="31">
        <f>COUNTIF(B25:BA25,"о")</f>
        <v>17</v>
      </c>
      <c r="BC25" s="31">
        <f>COUNTIF(B25:BA25,"в")</f>
        <v>6</v>
      </c>
      <c r="BD25" s="32">
        <f>SUM(BB25:BC25)</f>
        <v>23</v>
      </c>
      <c r="BE25" s="31">
        <f>COUNTIF(B25:BA25,$R$31)</f>
        <v>0</v>
      </c>
      <c r="BF25" s="31">
        <f>COUNTIF(B25:BA25,$R$33)</f>
        <v>4</v>
      </c>
      <c r="BG25" s="32">
        <f>SUM(BE25:BF25)</f>
        <v>4</v>
      </c>
      <c r="BH25" s="32">
        <f>COUNTIF(B25:BA25,$AF$31)</f>
        <v>16</v>
      </c>
      <c r="BI25" s="32">
        <f>COUNTIF(B25:BA25,$AF$33)</f>
        <v>0</v>
      </c>
      <c r="BJ25" s="32">
        <f>COUNTIF(B25:BA25,$AQ$31)</f>
        <v>0</v>
      </c>
      <c r="BK25" s="32">
        <f>COUNTIF(B25:BA25,$AZ$31)</f>
        <v>0</v>
      </c>
      <c r="BL25" s="32">
        <f>COUNTIF(B25:BA25,$AQ$33)</f>
        <v>0</v>
      </c>
      <c r="BM25" s="32">
        <f>COUNTIF(B25:BA25,$AZ$33)</f>
        <v>9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52</v>
      </c>
      <c r="C26" s="41" t="s">
        <v>52</v>
      </c>
      <c r="D26" s="41" t="s">
        <v>52</v>
      </c>
      <c r="E26" s="41" t="s">
        <v>52</v>
      </c>
      <c r="F26" s="41" t="s">
        <v>52</v>
      </c>
      <c r="G26" s="41" t="s">
        <v>52</v>
      </c>
      <c r="H26" s="41" t="s">
        <v>52</v>
      </c>
      <c r="I26" s="41" t="s">
        <v>52</v>
      </c>
      <c r="J26" s="41" t="s">
        <v>52</v>
      </c>
      <c r="K26" s="41" t="s">
        <v>52</v>
      </c>
      <c r="L26" s="41" t="s">
        <v>52</v>
      </c>
      <c r="M26" s="41" t="s">
        <v>72</v>
      </c>
      <c r="N26" s="41" t="s">
        <v>72</v>
      </c>
      <c r="O26" s="41" t="s">
        <v>72</v>
      </c>
      <c r="P26" s="41" t="s">
        <v>72</v>
      </c>
      <c r="Q26" s="322" t="s">
        <v>72</v>
      </c>
      <c r="R26" s="41" t="s">
        <v>72</v>
      </c>
      <c r="S26" s="41" t="s">
        <v>28</v>
      </c>
      <c r="T26" s="41" t="s">
        <v>28</v>
      </c>
      <c r="U26" s="41" t="s">
        <v>32</v>
      </c>
      <c r="V26" s="41" t="s">
        <v>32</v>
      </c>
      <c r="W26" s="41" t="s">
        <v>206</v>
      </c>
      <c r="X26" s="41" t="s">
        <v>206</v>
      </c>
      <c r="Y26" s="41" t="s">
        <v>206</v>
      </c>
      <c r="Z26" s="41" t="s">
        <v>206</v>
      </c>
      <c r="AA26" s="41" t="s">
        <v>206</v>
      </c>
      <c r="AB26" s="41" t="s">
        <v>206</v>
      </c>
      <c r="AC26" s="41" t="s">
        <v>32</v>
      </c>
      <c r="AD26" s="41" t="s">
        <v>32</v>
      </c>
      <c r="AE26" s="41" t="s">
        <v>32</v>
      </c>
      <c r="AF26" s="41" t="s">
        <v>32</v>
      </c>
      <c r="AG26" s="41" t="s">
        <v>32</v>
      </c>
      <c r="AH26" s="41" t="s">
        <v>28</v>
      </c>
      <c r="AI26" s="41" t="s">
        <v>28</v>
      </c>
      <c r="AJ26" s="41" t="s">
        <v>28</v>
      </c>
      <c r="AK26" s="41" t="s">
        <v>28</v>
      </c>
      <c r="AL26" s="41" t="s">
        <v>28</v>
      </c>
      <c r="AM26" s="41" t="s">
        <v>28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6</v>
      </c>
      <c r="BC26" s="31">
        <f>COUNTIF(B26:BA26,"в")</f>
        <v>7</v>
      </c>
      <c r="BD26" s="32">
        <f>SUM(BB26:BC26)</f>
        <v>13</v>
      </c>
      <c r="BE26" s="31">
        <f>COUNTIF(B26:BA26,$R$31)</f>
        <v>0</v>
      </c>
      <c r="BF26" s="31">
        <f>COUNTIF(B26:BA26,$R$33)</f>
        <v>6</v>
      </c>
      <c r="BG26" s="32">
        <f>SUM(BE26:BF26)</f>
        <v>6</v>
      </c>
      <c r="BH26" s="32">
        <f>COUNTIF(B26:BA26,$AF$31)</f>
        <v>0</v>
      </c>
      <c r="BI26" s="32">
        <f>COUNTIF(B26:BA26,$AF$33)</f>
        <v>25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8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72</v>
      </c>
      <c r="J27" s="41" t="s">
        <v>72</v>
      </c>
      <c r="K27" s="41" t="s">
        <v>72</v>
      </c>
      <c r="L27" s="41" t="s">
        <v>206</v>
      </c>
      <c r="M27" s="41" t="s">
        <v>206</v>
      </c>
      <c r="N27" s="41" t="s">
        <v>206</v>
      </c>
      <c r="O27" s="41" t="s">
        <v>206</v>
      </c>
      <c r="P27" s="41" t="s">
        <v>206</v>
      </c>
      <c r="Q27" s="41" t="s">
        <v>206</v>
      </c>
      <c r="R27" s="41" t="s">
        <v>72</v>
      </c>
      <c r="S27" s="41" t="s">
        <v>28</v>
      </c>
      <c r="T27" s="41" t="s">
        <v>28</v>
      </c>
      <c r="U27" s="41" t="s">
        <v>32</v>
      </c>
      <c r="V27" s="41" t="s">
        <v>32</v>
      </c>
      <c r="W27" s="41" t="s">
        <v>32</v>
      </c>
      <c r="X27" s="41" t="s">
        <v>32</v>
      </c>
      <c r="Y27" s="41" t="s">
        <v>52</v>
      </c>
      <c r="Z27" s="41" t="s">
        <v>52</v>
      </c>
      <c r="AA27" s="41" t="s">
        <v>52</v>
      </c>
      <c r="AB27" s="41" t="s">
        <v>52</v>
      </c>
      <c r="AC27" s="41" t="s">
        <v>31</v>
      </c>
      <c r="AD27" s="41" t="s">
        <v>31</v>
      </c>
      <c r="AE27" s="41" t="s">
        <v>31</v>
      </c>
      <c r="AF27" s="41" t="s">
        <v>31</v>
      </c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31">
        <f>COUNTIF(B27:BA27,"о")</f>
        <v>4</v>
      </c>
      <c r="BC27" s="31">
        <f>COUNTIF(B27:BA27,"в")</f>
        <v>4</v>
      </c>
      <c r="BD27" s="32">
        <f>SUM(BB27:BC27)</f>
        <v>8</v>
      </c>
      <c r="BE27" s="31">
        <f>COUNTIF(B27:BA27,$R$31)</f>
        <v>0</v>
      </c>
      <c r="BF27" s="31">
        <f>COUNTIF(B27:BA27,$R$33)</f>
        <v>6</v>
      </c>
      <c r="BG27" s="32">
        <f>SUM(BE27:BF27)</f>
        <v>6</v>
      </c>
      <c r="BH27" s="32">
        <f>COUNTIF(B27:BA27,$AF$31)</f>
        <v>0</v>
      </c>
      <c r="BI27" s="32">
        <f>COUNTIF(B27:BA27,$AF$33)</f>
        <v>11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31</v>
      </c>
    </row>
    <row r="28" spans="1:66" ht="15.75" hidden="1" customHeight="1" x14ac:dyDescent="0.2">
      <c r="A28" s="9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22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v>0</v>
      </c>
      <c r="BL28" s="32">
        <v>2</v>
      </c>
      <c r="BM28" s="32">
        <f>COUNTIF(B28:BA28,$AZ$33)</f>
        <v>0</v>
      </c>
      <c r="BN28" s="32">
        <f>SUM(BG28:BM28)+BD28</f>
        <v>2</v>
      </c>
    </row>
    <row r="29" spans="1:66" ht="15.75" customHeight="1" x14ac:dyDescent="0.2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756" t="s">
        <v>53</v>
      </c>
      <c r="AZ29" s="756"/>
      <c r="BA29" s="756"/>
      <c r="BB29" s="13">
        <f t="shared" ref="BB29:BJ29" si="0">SUM(BB24:BB28)</f>
        <v>29</v>
      </c>
      <c r="BC29" s="13">
        <f t="shared" si="0"/>
        <v>39</v>
      </c>
      <c r="BD29" s="13">
        <f t="shared" si="0"/>
        <v>68</v>
      </c>
      <c r="BE29" s="13">
        <f t="shared" si="0"/>
        <v>0</v>
      </c>
      <c r="BF29" s="13">
        <f t="shared" si="0"/>
        <v>20</v>
      </c>
      <c r="BG29" s="13">
        <f t="shared" si="0"/>
        <v>20</v>
      </c>
      <c r="BH29" s="13">
        <f t="shared" si="0"/>
        <v>16</v>
      </c>
      <c r="BI29" s="13">
        <f t="shared" si="0"/>
        <v>36</v>
      </c>
      <c r="BJ29" s="13">
        <f t="shared" si="0"/>
        <v>0</v>
      </c>
      <c r="BK29" s="13">
        <v>0</v>
      </c>
      <c r="BL29" s="13">
        <f>SUM(BL24:BL28)</f>
        <v>6</v>
      </c>
      <c r="BM29" s="13">
        <f>SUM(BM24:BM28)</f>
        <v>28</v>
      </c>
      <c r="BN29" s="13">
        <f>SUM(BN24:BN28)</f>
        <v>174</v>
      </c>
    </row>
    <row r="30" spans="1:66" ht="10.5" customHeight="1" x14ac:dyDescent="0.2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</row>
    <row r="31" spans="1:66" s="5" customFormat="1" ht="11.25" customHeight="1" x14ac:dyDescent="0.2">
      <c r="A31" s="198"/>
      <c r="B31" s="30" t="s">
        <v>72</v>
      </c>
      <c r="C31" s="43" t="s">
        <v>22</v>
      </c>
      <c r="D31" s="589" t="s">
        <v>383</v>
      </c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24" t="s">
        <v>205</v>
      </c>
      <c r="S31" s="43" t="s">
        <v>22</v>
      </c>
      <c r="T31" s="589" t="s">
        <v>384</v>
      </c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26" t="s">
        <v>51</v>
      </c>
      <c r="AG31" s="43" t="s">
        <v>22</v>
      </c>
      <c r="AH31" s="639" t="s">
        <v>23</v>
      </c>
      <c r="AI31" s="639"/>
      <c r="AJ31" s="639"/>
      <c r="AK31" s="639"/>
      <c r="AL31" s="639"/>
      <c r="AM31" s="639"/>
      <c r="AN31" s="639"/>
      <c r="AO31" s="639"/>
      <c r="AP31" s="639"/>
      <c r="AQ31" s="581"/>
      <c r="AR31" s="581"/>
      <c r="AS31" s="589"/>
      <c r="AT31" s="589"/>
      <c r="AU31" s="589"/>
      <c r="AV31" s="589"/>
      <c r="AW31" s="589"/>
      <c r="AX31" s="589"/>
      <c r="AY31" s="589"/>
      <c r="AZ31" s="43"/>
      <c r="BA31" s="43"/>
      <c r="BB31" s="589"/>
      <c r="BC31" s="589"/>
      <c r="BD31" s="589"/>
      <c r="BE31" s="589"/>
      <c r="BF31" s="589"/>
      <c r="BG31" s="589"/>
      <c r="BH31" s="589"/>
      <c r="BI31" s="198"/>
      <c r="BJ31" s="198"/>
      <c r="BK31" s="198"/>
      <c r="BL31" s="198"/>
      <c r="BM31" s="198"/>
      <c r="BN31" s="198"/>
    </row>
    <row r="32" spans="1:66" s="5" customFormat="1" ht="11.25" x14ac:dyDescent="0.2">
      <c r="A32" s="198"/>
      <c r="B32" s="198"/>
      <c r="C32" s="198"/>
      <c r="D32" s="43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7"/>
      <c r="V32" s="43"/>
      <c r="W32" s="197"/>
      <c r="X32" s="197"/>
      <c r="Y32" s="43"/>
      <c r="Z32" s="197"/>
      <c r="AA32" s="197"/>
      <c r="AB32" s="43"/>
      <c r="AC32" s="197"/>
      <c r="AD32" s="197"/>
      <c r="AE32" s="43"/>
      <c r="AF32" s="197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</row>
    <row r="33" spans="1:66" s="5" customFormat="1" ht="11.25" customHeight="1" x14ac:dyDescent="0.2">
      <c r="A33" s="198"/>
      <c r="B33" s="30" t="s">
        <v>32</v>
      </c>
      <c r="C33" s="43" t="s">
        <v>22</v>
      </c>
      <c r="D33" s="589" t="s">
        <v>385</v>
      </c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24" t="s">
        <v>206</v>
      </c>
      <c r="S33" s="43" t="s">
        <v>22</v>
      </c>
      <c r="T33" s="589" t="s">
        <v>386</v>
      </c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26" t="s">
        <v>52</v>
      </c>
      <c r="AG33" s="43" t="s">
        <v>22</v>
      </c>
      <c r="AH33" s="639" t="s">
        <v>202</v>
      </c>
      <c r="AI33" s="639"/>
      <c r="AJ33" s="639"/>
      <c r="AK33" s="639"/>
      <c r="AL33" s="639"/>
      <c r="AM33" s="639"/>
      <c r="AN33" s="639"/>
      <c r="AO33" s="639"/>
      <c r="AP33" s="639"/>
      <c r="AQ33" s="24" t="s">
        <v>31</v>
      </c>
      <c r="AR33" s="43" t="s">
        <v>22</v>
      </c>
      <c r="AS33" s="641" t="s">
        <v>536</v>
      </c>
      <c r="AT33" s="641"/>
      <c r="AU33" s="641"/>
      <c r="AV33" s="641"/>
      <c r="AW33" s="641"/>
      <c r="AX33" s="641"/>
      <c r="AY33" s="641"/>
      <c r="AZ33" s="27" t="s">
        <v>28</v>
      </c>
      <c r="BA33" s="43" t="s">
        <v>22</v>
      </c>
      <c r="BB33" s="639" t="s">
        <v>201</v>
      </c>
      <c r="BC33" s="639"/>
      <c r="BD33" s="639"/>
      <c r="BE33" s="639"/>
      <c r="BF33" s="639"/>
      <c r="BG33" s="640"/>
      <c r="BH33" s="12" t="s">
        <v>26</v>
      </c>
      <c r="BI33" s="43" t="s">
        <v>22</v>
      </c>
      <c r="BJ33" s="639" t="s">
        <v>43</v>
      </c>
      <c r="BK33" s="639"/>
      <c r="BL33" s="639"/>
      <c r="BM33" s="639"/>
      <c r="BN33" s="639"/>
    </row>
    <row r="34" spans="1:66" x14ac:dyDescent="0.2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641"/>
      <c r="AT34" s="641"/>
      <c r="AU34" s="641"/>
      <c r="AV34" s="641"/>
      <c r="AW34" s="641"/>
      <c r="AX34" s="641"/>
      <c r="AY34" s="64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</row>
    <row r="35" spans="1:66" hidden="1" x14ac:dyDescent="0.2">
      <c r="A35" s="23"/>
      <c r="B35" s="25" t="str">
        <f>B31</f>
        <v>о</v>
      </c>
      <c r="D35" s="206" t="s">
        <v>101</v>
      </c>
      <c r="L35" s="588" t="s">
        <v>149</v>
      </c>
      <c r="M35" s="588"/>
      <c r="N35" s="588"/>
      <c r="O35" s="588"/>
      <c r="P35" s="588"/>
      <c r="Q35" s="588"/>
      <c r="R35" s="588"/>
      <c r="S35" s="588"/>
      <c r="T35" s="588"/>
      <c r="U35" s="588"/>
    </row>
    <row r="36" spans="1:66" hidden="1" x14ac:dyDescent="0.2">
      <c r="A36" s="23"/>
      <c r="B36" s="25" t="str">
        <f>R31</f>
        <v>оа</v>
      </c>
      <c r="D36" s="206" t="s">
        <v>102</v>
      </c>
      <c r="L36" s="588" t="s">
        <v>150</v>
      </c>
      <c r="M36" s="588"/>
      <c r="N36" s="588"/>
      <c r="O36" s="588"/>
      <c r="P36" s="588"/>
      <c r="Q36" s="588"/>
      <c r="R36" s="588"/>
      <c r="S36" s="588"/>
      <c r="T36" s="588"/>
      <c r="U36" s="588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206" t="s">
        <v>103</v>
      </c>
      <c r="L37" s="588" t="s">
        <v>153</v>
      </c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206"/>
      <c r="L38" s="588" t="s">
        <v>154</v>
      </c>
      <c r="M38" s="588"/>
      <c r="N38" s="588"/>
      <c r="O38" s="588"/>
      <c r="P38" s="588"/>
      <c r="Q38" s="588"/>
      <c r="R38" s="588"/>
      <c r="S38" s="588"/>
      <c r="T38" s="588"/>
      <c r="U38" s="588"/>
      <c r="V38" s="588"/>
      <c r="W38" s="588"/>
      <c r="X38" s="588"/>
      <c r="Y38" s="588"/>
      <c r="Z38" s="588"/>
      <c r="AA38" s="588"/>
      <c r="AB38" s="588"/>
      <c r="AC38" s="588"/>
      <c r="AD38" s="588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206" t="s">
        <v>104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>
        <f>AQ31</f>
        <v>0</v>
      </c>
    </row>
    <row r="43" spans="1:66" hidden="1" x14ac:dyDescent="0.2">
      <c r="A43" s="23"/>
      <c r="B43" s="28">
        <f>AZ31</f>
        <v>0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mergeCells count="91">
    <mergeCell ref="L35:U35"/>
    <mergeCell ref="L36:U36"/>
    <mergeCell ref="L37:AD37"/>
    <mergeCell ref="L38:AD38"/>
    <mergeCell ref="D33:Q33"/>
    <mergeCell ref="T33:AE33"/>
    <mergeCell ref="AH33:AP33"/>
    <mergeCell ref="BB33:BG33"/>
    <mergeCell ref="BJ33:BN33"/>
    <mergeCell ref="AY29:BA29"/>
    <mergeCell ref="AS33:AY34"/>
    <mergeCell ref="D31:Q31"/>
    <mergeCell ref="T31:AE31"/>
    <mergeCell ref="AH31:AP31"/>
    <mergeCell ref="AS31:AY31"/>
    <mergeCell ref="BB31:BH31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BC13:BN13"/>
    <mergeCell ref="A4:N4"/>
    <mergeCell ref="BC4:BN4"/>
    <mergeCell ref="BC6:BN6"/>
    <mergeCell ref="A7:BN7"/>
    <mergeCell ref="AA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O1:BB1"/>
    <mergeCell ref="A2:N2"/>
    <mergeCell ref="O2:BB2"/>
    <mergeCell ref="BC2:BN2"/>
    <mergeCell ref="A3:G3"/>
    <mergeCell ref="H3:N3"/>
    <mergeCell ref="O3:BB3"/>
    <mergeCell ref="BC3:BN3"/>
  </mergeCells>
  <conditionalFormatting sqref="A35:A36">
    <cfRule type="cellIs" priority="19" stopIfTrue="1" operator="equal">
      <formula>#REF!</formula>
    </cfRule>
  </conditionalFormatting>
  <conditionalFormatting sqref="A37:A38">
    <cfRule type="expression" dxfId="19" priority="18" stopIfTrue="1">
      <formula>$R$31</formula>
    </cfRule>
  </conditionalFormatting>
  <conditionalFormatting sqref="B35">
    <cfRule type="cellIs" priority="17" stopIfTrue="1" operator="equal">
      <formula>$B$31</formula>
    </cfRule>
  </conditionalFormatting>
  <conditionalFormatting sqref="B36">
    <cfRule type="cellIs" dxfId="18" priority="16" stopIfTrue="1" operator="equal">
      <formula>$R$31</formula>
    </cfRule>
  </conditionalFormatting>
  <conditionalFormatting sqref="B37">
    <cfRule type="cellIs" dxfId="17" priority="15" stopIfTrue="1" operator="equal">
      <formula>$B$33</formula>
    </cfRule>
  </conditionalFormatting>
  <conditionalFormatting sqref="B38">
    <cfRule type="cellIs" dxfId="16" priority="14" stopIfTrue="1" operator="equal">
      <formula>$R$33</formula>
    </cfRule>
  </conditionalFormatting>
  <conditionalFormatting sqref="B39">
    <cfRule type="cellIs" priority="13" stopIfTrue="1" operator="equal">
      <formula>$AF$31</formula>
    </cfRule>
  </conditionalFormatting>
  <conditionalFormatting sqref="B40">
    <cfRule type="cellIs" dxfId="15" priority="12" stopIfTrue="1" operator="equal">
      <formula>$AF$33</formula>
    </cfRule>
  </conditionalFormatting>
  <conditionalFormatting sqref="B41">
    <cfRule type="cellIs" dxfId="14" priority="11" stopIfTrue="1" operator="equal">
      <formula>$AZ$33</formula>
    </cfRule>
  </conditionalFormatting>
  <conditionalFormatting sqref="B42">
    <cfRule type="cellIs" dxfId="13" priority="10" stopIfTrue="1" operator="equal">
      <formula>$AQ$31</formula>
    </cfRule>
  </conditionalFormatting>
  <conditionalFormatting sqref="B43">
    <cfRule type="cellIs" dxfId="12" priority="9" stopIfTrue="1" operator="equal">
      <formula>$AZ$31</formula>
    </cfRule>
  </conditionalFormatting>
  <conditionalFormatting sqref="B44">
    <cfRule type="cellIs" dxfId="11" priority="8" stopIfTrue="1" operator="equal">
      <formula>$AQ$33</formula>
    </cfRule>
  </conditionalFormatting>
  <conditionalFormatting sqref="B45">
    <cfRule type="cellIs" priority="7" stopIfTrue="1" operator="equal">
      <formula>$BH$33</formula>
    </cfRule>
  </conditionalFormatting>
  <conditionalFormatting sqref="B25:P28 Q24:AF28 AG24:BA26 AG28:BA28">
    <cfRule type="expression" dxfId="10" priority="4" stopIfTrue="1">
      <formula>OR(B24=$R$31,B24=$R$33,B24=$AQ$31,B24=$AZ$31,B24=$AQ$33)</formula>
    </cfRule>
    <cfRule type="expression" dxfId="9" priority="5" stopIfTrue="1">
      <formula>OR(B24=$AF$31,B24=$AF$33)</formula>
    </cfRule>
    <cfRule type="cellIs" dxfId="8" priority="6" stopIfTrue="1" operator="equal">
      <formula>$AZ$33</formula>
    </cfRule>
  </conditionalFormatting>
  <conditionalFormatting sqref="B25:P28 Q24:AF28 AG24:BA26 AG28:BA28">
    <cfRule type="expression" dxfId="7" priority="1" stopIfTrue="1">
      <formula>OR(B24=$R$31,B24=$R$33,B24=$AQ$31,B24=$AZ$31,B24=$AQ$33)</formula>
    </cfRule>
    <cfRule type="expression" dxfId="6" priority="2" stopIfTrue="1">
      <formula>OR(B24=$AF$31,B24=$AF$33)</formula>
    </cfRule>
    <cfRule type="cellIs" dxfId="5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5:P28 Q24:AF28 AG24:BA26 AG28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4"/>
  <sheetViews>
    <sheetView showZeros="0" topLeftCell="A3" zoomScale="70" zoomScaleNormal="70" workbookViewId="0">
      <pane xSplit="18" ySplit="7" topLeftCell="S10" activePane="bottomRight" state="frozen"/>
      <selection activeCell="A3" sqref="A3"/>
      <selection pane="topRight" activeCell="S3" sqref="S3"/>
      <selection pane="bottomLeft" activeCell="A10" sqref="A10"/>
      <selection pane="bottomRight" activeCell="I3" sqref="I1:J1048576"/>
    </sheetView>
  </sheetViews>
  <sheetFormatPr defaultColWidth="9.33203125" defaultRowHeight="12.75" x14ac:dyDescent="0.2"/>
  <cols>
    <col min="1" max="1" width="14.5" style="207" customWidth="1"/>
    <col min="2" max="2" width="46.83203125" style="207" customWidth="1"/>
    <col min="3" max="3" width="12.6640625" style="207" customWidth="1"/>
    <col min="4" max="8" width="7.83203125" style="71" customWidth="1"/>
    <col min="9" max="10" width="7.83203125" style="71" hidden="1" customWidth="1"/>
    <col min="11" max="12" width="7.83203125" style="72" customWidth="1"/>
    <col min="13" max="19" width="7.83203125" style="207" customWidth="1"/>
    <col min="20" max="25" width="7.83203125" style="318" customWidth="1"/>
    <col min="26" max="43" width="7.83203125" style="207" customWidth="1"/>
    <col min="44" max="44" width="6.83203125" style="207" hidden="1" customWidth="1"/>
    <col min="45" max="45" width="6.33203125" style="207" hidden="1" customWidth="1"/>
    <col min="46" max="46" width="5.5" style="207" hidden="1" customWidth="1"/>
    <col min="47" max="47" width="6.83203125" style="207" hidden="1" customWidth="1"/>
    <col min="48" max="48" width="4.83203125" style="207" hidden="1" customWidth="1"/>
    <col min="49" max="49" width="5.33203125" style="207" hidden="1" customWidth="1"/>
    <col min="50" max="50" width="6.83203125" style="207" hidden="1" customWidth="1"/>
    <col min="51" max="51" width="9.5" style="56" customWidth="1"/>
    <col min="52" max="52" width="28.83203125" style="56" customWidth="1"/>
    <col min="53" max="16384" width="9.33203125" style="53"/>
  </cols>
  <sheetData>
    <row r="1" spans="1:52" ht="15.75" x14ac:dyDescent="0.2">
      <c r="A1" s="655" t="s">
        <v>36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  <c r="AR1" s="655"/>
      <c r="AS1" s="655"/>
      <c r="AT1" s="655"/>
      <c r="AU1" s="655"/>
      <c r="AV1" s="655"/>
      <c r="AW1" s="655"/>
      <c r="AX1" s="655"/>
      <c r="AY1" s="827"/>
      <c r="AZ1" s="655"/>
    </row>
    <row r="2" spans="1:52" ht="13.5" thickBot="1" x14ac:dyDescent="0.25">
      <c r="B2" s="54"/>
      <c r="C2" s="54"/>
      <c r="D2" s="54"/>
      <c r="E2" s="54"/>
      <c r="F2" s="54"/>
      <c r="G2" s="54"/>
      <c r="H2" s="54"/>
      <c r="I2" s="54"/>
      <c r="J2" s="54"/>
      <c r="K2" s="55"/>
      <c r="L2" s="55"/>
      <c r="M2" s="54"/>
      <c r="N2" s="54"/>
      <c r="O2" s="54"/>
      <c r="P2" s="54"/>
      <c r="Q2" s="54"/>
      <c r="R2" s="54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>
        <v>0.2</v>
      </c>
      <c r="AG2" s="838"/>
      <c r="AH2" s="838"/>
      <c r="AI2" s="838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  <c r="AU2" s="838"/>
      <c r="AV2" s="838"/>
      <c r="AW2" s="838"/>
      <c r="AX2" s="838"/>
    </row>
    <row r="3" spans="1:52" s="57" customFormat="1" ht="12.75" customHeight="1" x14ac:dyDescent="0.2">
      <c r="A3" s="657" t="s">
        <v>155</v>
      </c>
      <c r="B3" s="659" t="s">
        <v>524</v>
      </c>
      <c r="C3" s="659" t="s">
        <v>70</v>
      </c>
      <c r="D3" s="661" t="s">
        <v>525</v>
      </c>
      <c r="E3" s="662"/>
      <c r="F3" s="662"/>
      <c r="G3" s="662"/>
      <c r="H3" s="662"/>
      <c r="I3" s="861"/>
      <c r="J3" s="860" t="s">
        <v>466</v>
      </c>
      <c r="K3" s="850" t="s">
        <v>560</v>
      </c>
      <c r="L3" s="851"/>
      <c r="M3" s="856" t="s">
        <v>2</v>
      </c>
      <c r="N3" s="856"/>
      <c r="O3" s="856"/>
      <c r="P3" s="856"/>
      <c r="Q3" s="856"/>
      <c r="R3" s="856"/>
      <c r="S3" s="856"/>
      <c r="T3" s="757" t="s">
        <v>135</v>
      </c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758"/>
      <c r="AN3" s="758"/>
      <c r="AO3" s="758"/>
      <c r="AP3" s="758"/>
      <c r="AQ3" s="758"/>
      <c r="AR3" s="758"/>
      <c r="AS3" s="758"/>
      <c r="AT3" s="758"/>
      <c r="AU3" s="758"/>
      <c r="AV3" s="758"/>
      <c r="AW3" s="758"/>
      <c r="AX3" s="758"/>
      <c r="AY3" s="828" t="s">
        <v>156</v>
      </c>
      <c r="AZ3" s="828" t="s">
        <v>68</v>
      </c>
    </row>
    <row r="4" spans="1:52" s="57" customFormat="1" ht="13.5" thickBot="1" x14ac:dyDescent="0.25">
      <c r="A4" s="658"/>
      <c r="B4" s="660"/>
      <c r="C4" s="660"/>
      <c r="D4" s="663"/>
      <c r="E4" s="664"/>
      <c r="F4" s="664"/>
      <c r="G4" s="664"/>
      <c r="H4" s="664"/>
      <c r="I4" s="861"/>
      <c r="J4" s="860"/>
      <c r="K4" s="852"/>
      <c r="L4" s="853"/>
      <c r="M4" s="779" t="s">
        <v>1</v>
      </c>
      <c r="N4" s="781" t="s">
        <v>3</v>
      </c>
      <c r="O4" s="781"/>
      <c r="P4" s="781"/>
      <c r="Q4" s="781"/>
      <c r="R4" s="781"/>
      <c r="S4" s="782"/>
      <c r="T4" s="782" t="s">
        <v>467</v>
      </c>
      <c r="U4" s="846"/>
      <c r="V4" s="846"/>
      <c r="W4" s="846"/>
      <c r="X4" s="846"/>
      <c r="Y4" s="847"/>
      <c r="Z4" s="831" t="s">
        <v>468</v>
      </c>
      <c r="AA4" s="831"/>
      <c r="AB4" s="831"/>
      <c r="AC4" s="831"/>
      <c r="AD4" s="831"/>
      <c r="AE4" s="831"/>
      <c r="AF4" s="831" t="s">
        <v>469</v>
      </c>
      <c r="AG4" s="831"/>
      <c r="AH4" s="831"/>
      <c r="AI4" s="831"/>
      <c r="AJ4" s="831"/>
      <c r="AK4" s="831"/>
      <c r="AL4" s="781" t="s">
        <v>470</v>
      </c>
      <c r="AM4" s="781"/>
      <c r="AN4" s="781"/>
      <c r="AO4" s="781"/>
      <c r="AP4" s="781"/>
      <c r="AQ4" s="781"/>
      <c r="AR4" s="831" t="s">
        <v>471</v>
      </c>
      <c r="AS4" s="831"/>
      <c r="AT4" s="831"/>
      <c r="AU4" s="831"/>
      <c r="AV4" s="831"/>
      <c r="AW4" s="831"/>
      <c r="AX4" s="831"/>
      <c r="AY4" s="829"/>
      <c r="AZ4" s="829"/>
    </row>
    <row r="5" spans="1:52" s="57" customFormat="1" ht="12.75" customHeight="1" x14ac:dyDescent="0.2">
      <c r="A5" s="658"/>
      <c r="B5" s="660"/>
      <c r="C5" s="660"/>
      <c r="D5" s="675" t="s">
        <v>62</v>
      </c>
      <c r="E5" s="675" t="s">
        <v>526</v>
      </c>
      <c r="F5" s="451"/>
      <c r="G5" s="675" t="s">
        <v>527</v>
      </c>
      <c r="H5" s="677" t="s">
        <v>528</v>
      </c>
      <c r="I5" s="861"/>
      <c r="J5" s="860"/>
      <c r="K5" s="852"/>
      <c r="L5" s="853"/>
      <c r="M5" s="780"/>
      <c r="N5" s="857" t="s">
        <v>76</v>
      </c>
      <c r="O5" s="846"/>
      <c r="P5" s="846"/>
      <c r="Q5" s="846"/>
      <c r="R5" s="847"/>
      <c r="S5" s="777" t="s">
        <v>78</v>
      </c>
      <c r="T5" s="839"/>
      <c r="U5" s="771"/>
      <c r="V5" s="557"/>
      <c r="W5" s="558">
        <v>30</v>
      </c>
      <c r="X5" s="558"/>
      <c r="Y5" s="557"/>
      <c r="Z5" s="839"/>
      <c r="AA5" s="771"/>
      <c r="AB5" s="557"/>
      <c r="AC5" s="558">
        <v>30</v>
      </c>
      <c r="AD5" s="558"/>
      <c r="AE5" s="559"/>
      <c r="AF5" s="771"/>
      <c r="AG5" s="771"/>
      <c r="AH5" s="461"/>
      <c r="AI5" s="461"/>
      <c r="AJ5" s="558">
        <v>40</v>
      </c>
      <c r="AK5" s="558"/>
      <c r="AL5" s="772"/>
      <c r="AM5" s="773"/>
      <c r="AN5" s="461"/>
      <c r="AO5" s="558">
        <v>40</v>
      </c>
      <c r="AP5" s="558"/>
      <c r="AQ5" s="559"/>
      <c r="AR5" s="774"/>
      <c r="AS5" s="775"/>
      <c r="AT5" s="268"/>
      <c r="AU5" s="267">
        <v>40</v>
      </c>
      <c r="AV5" s="267"/>
      <c r="AW5" s="267"/>
      <c r="AX5" s="266"/>
      <c r="AY5" s="829"/>
      <c r="AZ5" s="829"/>
    </row>
    <row r="6" spans="1:52" s="57" customFormat="1" ht="12.75" customHeight="1" x14ac:dyDescent="0.2">
      <c r="A6" s="658"/>
      <c r="B6" s="660"/>
      <c r="C6" s="660"/>
      <c r="D6" s="676"/>
      <c r="E6" s="676"/>
      <c r="F6" s="452"/>
      <c r="G6" s="676"/>
      <c r="H6" s="678"/>
      <c r="I6" s="861"/>
      <c r="J6" s="860"/>
      <c r="K6" s="852"/>
      <c r="L6" s="853"/>
      <c r="M6" s="780"/>
      <c r="N6" s="859"/>
      <c r="O6" s="857" t="s">
        <v>266</v>
      </c>
      <c r="P6" s="857" t="s">
        <v>65</v>
      </c>
      <c r="Q6" s="857" t="s">
        <v>210</v>
      </c>
      <c r="R6" s="857" t="s">
        <v>267</v>
      </c>
      <c r="S6" s="777"/>
      <c r="T6" s="833"/>
      <c r="U6" s="776"/>
      <c r="V6" s="458"/>
      <c r="W6" s="776" t="s">
        <v>387</v>
      </c>
      <c r="X6" s="776"/>
      <c r="Y6" s="458"/>
      <c r="Z6" s="833"/>
      <c r="AA6" s="776"/>
      <c r="AB6" s="458"/>
      <c r="AC6" s="776" t="s">
        <v>387</v>
      </c>
      <c r="AD6" s="776"/>
      <c r="AE6" s="560"/>
      <c r="AF6" s="776"/>
      <c r="AG6" s="776"/>
      <c r="AH6" s="458"/>
      <c r="AI6" s="458"/>
      <c r="AJ6" s="776" t="s">
        <v>387</v>
      </c>
      <c r="AK6" s="776"/>
      <c r="AL6" s="834"/>
      <c r="AM6" s="835"/>
      <c r="AN6" s="458"/>
      <c r="AO6" s="776" t="s">
        <v>387</v>
      </c>
      <c r="AP6" s="776"/>
      <c r="AQ6" s="560"/>
      <c r="AR6" s="836"/>
      <c r="AS6" s="837"/>
      <c r="AT6" s="235"/>
      <c r="AU6" s="776" t="s">
        <v>387</v>
      </c>
      <c r="AV6" s="776"/>
      <c r="AW6" s="776"/>
      <c r="AX6" s="235"/>
      <c r="AY6" s="829"/>
      <c r="AZ6" s="829"/>
    </row>
    <row r="7" spans="1:52" s="57" customFormat="1" ht="12.75" customHeight="1" x14ac:dyDescent="0.2">
      <c r="A7" s="658"/>
      <c r="B7" s="660"/>
      <c r="C7" s="660"/>
      <c r="D7" s="676"/>
      <c r="E7" s="676"/>
      <c r="F7" s="452"/>
      <c r="G7" s="676"/>
      <c r="H7" s="678"/>
      <c r="I7" s="861"/>
      <c r="J7" s="860"/>
      <c r="K7" s="852"/>
      <c r="L7" s="853"/>
      <c r="M7" s="780"/>
      <c r="N7" s="859"/>
      <c r="O7" s="858"/>
      <c r="P7" s="858"/>
      <c r="Q7" s="858"/>
      <c r="R7" s="858"/>
      <c r="S7" s="777"/>
      <c r="T7" s="645" t="s">
        <v>132</v>
      </c>
      <c r="U7" s="646"/>
      <c r="V7" s="453"/>
      <c r="W7" s="434"/>
      <c r="X7" s="59">
        <f>IF((SUM(U66:Y66))=0,0,(SUM(U66:Y66))/Нормы!$G$39)</f>
        <v>0</v>
      </c>
      <c r="Y7" s="562" t="s">
        <v>133</v>
      </c>
      <c r="Z7" s="645" t="s">
        <v>132</v>
      </c>
      <c r="AA7" s="646"/>
      <c r="AB7" s="578"/>
      <c r="AC7" s="434"/>
      <c r="AD7" s="59">
        <f>IF((SUM(AA65:AE65))=0,0,(SUM(AA65:AE65))/Нормы!$G$39)</f>
        <v>16</v>
      </c>
      <c r="AE7" s="555" t="s">
        <v>133</v>
      </c>
      <c r="AF7" s="645" t="s">
        <v>132</v>
      </c>
      <c r="AG7" s="646"/>
      <c r="AH7" s="578"/>
      <c r="AI7" s="434"/>
      <c r="AJ7" s="59">
        <f>IF((SUM(AG66:AK66))=0,0,(SUM(AG66:AK66))/Нормы!$G$39)</f>
        <v>25</v>
      </c>
      <c r="AK7" s="555" t="s">
        <v>133</v>
      </c>
      <c r="AL7" s="645" t="s">
        <v>132</v>
      </c>
      <c r="AM7" s="646"/>
      <c r="AN7" s="453"/>
      <c r="AO7" s="434"/>
      <c r="AP7" s="59">
        <f>IF((SUM(AM66:AQ66))=0,0,(SUM(AM66:AQ66))/Нормы!$G$39)</f>
        <v>11</v>
      </c>
      <c r="AQ7" s="555" t="s">
        <v>133</v>
      </c>
      <c r="AR7" s="514"/>
      <c r="AS7" s="434"/>
      <c r="AT7" s="236"/>
      <c r="AU7" s="236"/>
      <c r="AV7" s="58"/>
      <c r="AW7" s="59" t="e">
        <f>IF((SUM(AS66:AX66)+SUM(#REF!))=0,0,(SUM(AS66:AX66)+SUM(#REF!))/Нормы!G38)</f>
        <v>#REF!</v>
      </c>
      <c r="AX7" s="60" t="s">
        <v>133</v>
      </c>
      <c r="AY7" s="829"/>
      <c r="AZ7" s="829"/>
    </row>
    <row r="8" spans="1:52" s="57" customFormat="1" ht="12.75" customHeight="1" x14ac:dyDescent="0.2">
      <c r="A8" s="658"/>
      <c r="B8" s="660"/>
      <c r="C8" s="660"/>
      <c r="D8" s="676"/>
      <c r="E8" s="676"/>
      <c r="F8" s="452"/>
      <c r="G8" s="676"/>
      <c r="H8" s="678"/>
      <c r="I8" s="861"/>
      <c r="J8" s="860"/>
      <c r="K8" s="854"/>
      <c r="L8" s="855"/>
      <c r="M8" s="780"/>
      <c r="N8" s="859"/>
      <c r="O8" s="858"/>
      <c r="P8" s="858"/>
      <c r="Q8" s="858"/>
      <c r="R8" s="858"/>
      <c r="S8" s="777"/>
      <c r="T8" s="643" t="s">
        <v>134</v>
      </c>
      <c r="U8" s="644"/>
      <c r="V8" s="644"/>
      <c r="W8" s="515"/>
      <c r="X8" s="61">
        <f>IF(SUM(U69:Y69)=0,0,SUM(U69:Y69)/Нормы!$G$38)</f>
        <v>0</v>
      </c>
      <c r="Y8" s="62" t="s">
        <v>133</v>
      </c>
      <c r="Z8" s="643" t="s">
        <v>134</v>
      </c>
      <c r="AA8" s="644"/>
      <c r="AB8" s="644"/>
      <c r="AC8" s="515"/>
      <c r="AD8" s="61">
        <f>IF(SUM(AA69:AE69)=0,0,SUM(AA69:AE69)/Нормы!$G$38)</f>
        <v>0</v>
      </c>
      <c r="AE8" s="556" t="s">
        <v>133</v>
      </c>
      <c r="AF8" s="643" t="s">
        <v>134</v>
      </c>
      <c r="AG8" s="644"/>
      <c r="AH8" s="644"/>
      <c r="AI8" s="515"/>
      <c r="AJ8" s="61">
        <f>IF(SUM(AG69:AK69)=0,0,SUM(AG69:AK69)/Нормы!$G$38)</f>
        <v>0</v>
      </c>
      <c r="AK8" s="556" t="s">
        <v>133</v>
      </c>
      <c r="AL8" s="643" t="s">
        <v>134</v>
      </c>
      <c r="AM8" s="644"/>
      <c r="AN8" s="644"/>
      <c r="AO8" s="515"/>
      <c r="AP8" s="61">
        <f>IF(SUM(AM69:AQ69)=0,0,SUM(AM69:AQ69)/Нормы!$G$38)</f>
        <v>4</v>
      </c>
      <c r="AQ8" s="556" t="s">
        <v>133</v>
      </c>
      <c r="AR8" s="516"/>
      <c r="AS8" s="832"/>
      <c r="AT8" s="832"/>
      <c r="AU8" s="832"/>
      <c r="AV8" s="832"/>
      <c r="AW8" s="61">
        <f>IF(SUM(AS69:AX69)=0,0,SUM(AS69:AX69)/Нормы!$G$38)</f>
        <v>0</v>
      </c>
      <c r="AX8" s="62" t="s">
        <v>133</v>
      </c>
      <c r="AY8" s="829"/>
      <c r="AZ8" s="829"/>
    </row>
    <row r="9" spans="1:52" s="57" customFormat="1" ht="138" customHeight="1" x14ac:dyDescent="0.2">
      <c r="A9" s="658"/>
      <c r="B9" s="660"/>
      <c r="C9" s="660"/>
      <c r="D9" s="676"/>
      <c r="E9" s="676"/>
      <c r="F9" s="452" t="s">
        <v>63</v>
      </c>
      <c r="G9" s="676"/>
      <c r="H9" s="678"/>
      <c r="I9" s="861"/>
      <c r="J9" s="860"/>
      <c r="K9" s="519" t="s">
        <v>164</v>
      </c>
      <c r="L9" s="519" t="s">
        <v>228</v>
      </c>
      <c r="M9" s="780"/>
      <c r="N9" s="859"/>
      <c r="O9" s="858"/>
      <c r="P9" s="858"/>
      <c r="Q9" s="858"/>
      <c r="R9" s="858"/>
      <c r="S9" s="778"/>
      <c r="T9" s="455" t="s">
        <v>124</v>
      </c>
      <c r="U9" s="429" t="s">
        <v>531</v>
      </c>
      <c r="V9" s="352" t="s">
        <v>532</v>
      </c>
      <c r="W9" s="352" t="s">
        <v>210</v>
      </c>
      <c r="X9" s="352" t="s">
        <v>267</v>
      </c>
      <c r="Y9" s="355" t="s">
        <v>66</v>
      </c>
      <c r="Z9" s="455" t="s">
        <v>124</v>
      </c>
      <c r="AA9" s="429" t="s">
        <v>531</v>
      </c>
      <c r="AB9" s="352" t="s">
        <v>532</v>
      </c>
      <c r="AC9" s="352" t="s">
        <v>210</v>
      </c>
      <c r="AD9" s="352" t="s">
        <v>267</v>
      </c>
      <c r="AE9" s="355" t="s">
        <v>66</v>
      </c>
      <c r="AF9" s="455" t="s">
        <v>124</v>
      </c>
      <c r="AG9" s="429" t="s">
        <v>531</v>
      </c>
      <c r="AH9" s="352" t="s">
        <v>532</v>
      </c>
      <c r="AI9" s="352" t="s">
        <v>210</v>
      </c>
      <c r="AJ9" s="352" t="s">
        <v>267</v>
      </c>
      <c r="AK9" s="355" t="s">
        <v>66</v>
      </c>
      <c r="AL9" s="455" t="s">
        <v>124</v>
      </c>
      <c r="AM9" s="429" t="s">
        <v>531</v>
      </c>
      <c r="AN9" s="352" t="s">
        <v>532</v>
      </c>
      <c r="AO9" s="352" t="s">
        <v>210</v>
      </c>
      <c r="AP9" s="352" t="s">
        <v>267</v>
      </c>
      <c r="AQ9" s="355" t="s">
        <v>66</v>
      </c>
      <c r="AR9" s="561" t="s">
        <v>124</v>
      </c>
      <c r="AS9" s="261" t="s">
        <v>266</v>
      </c>
      <c r="AT9" s="261" t="s">
        <v>65</v>
      </c>
      <c r="AU9" s="261" t="s">
        <v>210</v>
      </c>
      <c r="AV9" s="261" t="s">
        <v>267</v>
      </c>
      <c r="AW9" s="261" t="s">
        <v>136</v>
      </c>
      <c r="AX9" s="269" t="s">
        <v>66</v>
      </c>
      <c r="AY9" s="830"/>
      <c r="AZ9" s="830"/>
    </row>
    <row r="10" spans="1:52" s="57" customFormat="1" x14ac:dyDescent="0.2">
      <c r="A10" s="460">
        <v>1</v>
      </c>
      <c r="B10" s="462">
        <v>2</v>
      </c>
      <c r="C10" s="460">
        <v>3</v>
      </c>
      <c r="D10" s="460">
        <v>4</v>
      </c>
      <c r="E10" s="460">
        <v>5</v>
      </c>
      <c r="F10" s="460">
        <v>6</v>
      </c>
      <c r="G10" s="460">
        <v>7</v>
      </c>
      <c r="H10" s="520">
        <v>8</v>
      </c>
      <c r="I10" s="457"/>
      <c r="J10" s="457"/>
      <c r="K10" s="460">
        <v>9</v>
      </c>
      <c r="L10" s="460">
        <v>10</v>
      </c>
      <c r="M10" s="462">
        <v>11</v>
      </c>
      <c r="N10" s="460">
        <v>12</v>
      </c>
      <c r="O10" s="460">
        <v>14</v>
      </c>
      <c r="P10" s="460">
        <v>15</v>
      </c>
      <c r="Q10" s="460">
        <v>16</v>
      </c>
      <c r="R10" s="460">
        <v>17</v>
      </c>
      <c r="S10" s="521">
        <v>19</v>
      </c>
      <c r="T10" s="459">
        <v>21</v>
      </c>
      <c r="U10" s="460">
        <v>23</v>
      </c>
      <c r="V10" s="460">
        <v>24</v>
      </c>
      <c r="W10" s="460">
        <v>25</v>
      </c>
      <c r="X10" s="460">
        <v>26</v>
      </c>
      <c r="Y10" s="521">
        <v>28</v>
      </c>
      <c r="Z10" s="459">
        <v>21</v>
      </c>
      <c r="AA10" s="459">
        <v>23</v>
      </c>
      <c r="AB10" s="459">
        <v>24</v>
      </c>
      <c r="AC10" s="459">
        <v>25</v>
      </c>
      <c r="AD10" s="459">
        <v>26</v>
      </c>
      <c r="AE10" s="459">
        <v>28</v>
      </c>
      <c r="AF10" s="462">
        <v>29</v>
      </c>
      <c r="AG10" s="460">
        <v>31</v>
      </c>
      <c r="AH10" s="460">
        <v>32</v>
      </c>
      <c r="AI10" s="460">
        <v>33</v>
      </c>
      <c r="AJ10" s="460">
        <v>34</v>
      </c>
      <c r="AK10" s="521">
        <v>36</v>
      </c>
      <c r="AL10" s="459">
        <v>37</v>
      </c>
      <c r="AM10" s="459">
        <v>39</v>
      </c>
      <c r="AN10" s="459">
        <v>40</v>
      </c>
      <c r="AO10" s="459">
        <v>41</v>
      </c>
      <c r="AP10" s="459">
        <v>42</v>
      </c>
      <c r="AQ10" s="459">
        <v>44</v>
      </c>
      <c r="AR10" s="462">
        <v>45</v>
      </c>
      <c r="AS10" s="460">
        <v>47</v>
      </c>
      <c r="AT10" s="460">
        <v>48</v>
      </c>
      <c r="AU10" s="460">
        <v>49</v>
      </c>
      <c r="AV10" s="460">
        <v>50</v>
      </c>
      <c r="AW10" s="460">
        <v>51</v>
      </c>
      <c r="AX10" s="521">
        <v>52</v>
      </c>
      <c r="AY10" s="459">
        <v>53</v>
      </c>
      <c r="AZ10" s="459">
        <v>54</v>
      </c>
    </row>
    <row r="11" spans="1:52" ht="26.1" customHeight="1" x14ac:dyDescent="0.2">
      <c r="A11" s="535"/>
      <c r="B11" s="681" t="str">
        <f>'Учебный план (очная)'!B28:C28</f>
        <v>Обязательная часть циклов ППССЗ</v>
      </c>
      <c r="C11" s="681"/>
      <c r="D11" s="271"/>
      <c r="E11" s="271"/>
      <c r="F11" s="271"/>
      <c r="G11" s="271"/>
      <c r="H11" s="271"/>
      <c r="I11" s="271"/>
      <c r="J11" s="271"/>
      <c r="K11" s="493">
        <f>'Учебный план (очная)'!K28</f>
        <v>3154</v>
      </c>
      <c r="L11" s="493">
        <f>'Учебный план (очная)'!L28</f>
        <v>2103</v>
      </c>
      <c r="M11" s="493">
        <f t="shared" ref="M11:M12" si="0">SUM(N11+S11)</f>
        <v>2975</v>
      </c>
      <c r="N11" s="493">
        <f t="shared" ref="N11:AX11" si="1">SUM(N12+N17+N21)</f>
        <v>510</v>
      </c>
      <c r="O11" s="493">
        <f t="shared" si="1"/>
        <v>386</v>
      </c>
      <c r="P11" s="493">
        <f t="shared" si="1"/>
        <v>124</v>
      </c>
      <c r="Q11" s="493">
        <f t="shared" si="1"/>
        <v>0</v>
      </c>
      <c r="R11" s="493">
        <f t="shared" si="1"/>
        <v>0</v>
      </c>
      <c r="S11" s="493">
        <f t="shared" si="1"/>
        <v>2465</v>
      </c>
      <c r="T11" s="493">
        <f t="shared" ref="T11:Y11" si="2">SUM(T12+T17+T21)</f>
        <v>726</v>
      </c>
      <c r="U11" s="493">
        <f t="shared" si="2"/>
        <v>84</v>
      </c>
      <c r="V11" s="493">
        <f t="shared" si="2"/>
        <v>56</v>
      </c>
      <c r="W11" s="493">
        <f t="shared" si="2"/>
        <v>0</v>
      </c>
      <c r="X11" s="493">
        <f t="shared" si="2"/>
        <v>0</v>
      </c>
      <c r="Y11" s="493">
        <f t="shared" si="2"/>
        <v>586</v>
      </c>
      <c r="Z11" s="493">
        <f t="shared" si="1"/>
        <v>743</v>
      </c>
      <c r="AA11" s="493">
        <f t="shared" si="1"/>
        <v>98</v>
      </c>
      <c r="AB11" s="493">
        <f t="shared" si="1"/>
        <v>32</v>
      </c>
      <c r="AC11" s="493">
        <f t="shared" si="1"/>
        <v>0</v>
      </c>
      <c r="AD11" s="493">
        <f t="shared" si="1"/>
        <v>0</v>
      </c>
      <c r="AE11" s="493">
        <f t="shared" si="1"/>
        <v>613</v>
      </c>
      <c r="AF11" s="493">
        <f t="shared" si="1"/>
        <v>1010</v>
      </c>
      <c r="AG11" s="493">
        <f t="shared" si="1"/>
        <v>136</v>
      </c>
      <c r="AH11" s="493">
        <f t="shared" si="1"/>
        <v>24</v>
      </c>
      <c r="AI11" s="493">
        <f t="shared" si="1"/>
        <v>0</v>
      </c>
      <c r="AJ11" s="493">
        <f t="shared" si="1"/>
        <v>0</v>
      </c>
      <c r="AK11" s="493">
        <f t="shared" si="1"/>
        <v>850</v>
      </c>
      <c r="AL11" s="493">
        <f t="shared" si="1"/>
        <v>675</v>
      </c>
      <c r="AM11" s="493">
        <f t="shared" si="1"/>
        <v>84</v>
      </c>
      <c r="AN11" s="493">
        <f t="shared" si="1"/>
        <v>26</v>
      </c>
      <c r="AO11" s="493">
        <f t="shared" si="1"/>
        <v>0</v>
      </c>
      <c r="AP11" s="493">
        <f t="shared" si="1"/>
        <v>0</v>
      </c>
      <c r="AQ11" s="493">
        <f t="shared" si="1"/>
        <v>565</v>
      </c>
      <c r="AR11" s="493">
        <f t="shared" si="1"/>
        <v>0</v>
      </c>
      <c r="AS11" s="493">
        <f t="shared" si="1"/>
        <v>0</v>
      </c>
      <c r="AT11" s="493">
        <f t="shared" si="1"/>
        <v>0</v>
      </c>
      <c r="AU11" s="493">
        <f t="shared" si="1"/>
        <v>0</v>
      </c>
      <c r="AV11" s="493">
        <f t="shared" si="1"/>
        <v>0</v>
      </c>
      <c r="AW11" s="493">
        <f t="shared" si="1"/>
        <v>0</v>
      </c>
      <c r="AX11" s="493">
        <f t="shared" si="1"/>
        <v>0</v>
      </c>
      <c r="AY11" s="271"/>
      <c r="AZ11" s="271"/>
    </row>
    <row r="12" spans="1:52" s="176" customFormat="1" ht="26.1" customHeight="1" x14ac:dyDescent="0.2">
      <c r="A12" s="308" t="str">
        <f>'Учебный план (очная)'!A29</f>
        <v>ОГСЭ.00</v>
      </c>
      <c r="B12" s="743" t="s">
        <v>158</v>
      </c>
      <c r="C12" s="743"/>
      <c r="D12" s="273"/>
      <c r="E12" s="273"/>
      <c r="F12" s="273"/>
      <c r="G12" s="273"/>
      <c r="H12" s="273"/>
      <c r="I12" s="273"/>
      <c r="J12" s="273"/>
      <c r="K12" s="494">
        <f>'Учебный план (очная)'!K29</f>
        <v>612</v>
      </c>
      <c r="L12" s="494">
        <f>'Учебный план (очная)'!L29</f>
        <v>408</v>
      </c>
      <c r="M12" s="274">
        <f t="shared" si="0"/>
        <v>433</v>
      </c>
      <c r="N12" s="274">
        <f t="shared" ref="N12:N44" si="3">SUM(O12:R12)</f>
        <v>44</v>
      </c>
      <c r="O12" s="274">
        <f>AA12+AG12+AM12+AS12</f>
        <v>12</v>
      </c>
      <c r="P12" s="274">
        <f>AB12+AH12+AN12+AT12</f>
        <v>32</v>
      </c>
      <c r="Q12" s="274">
        <f>AC12+AI12+AO12+AU12</f>
        <v>0</v>
      </c>
      <c r="R12" s="274">
        <f>AD12+AJ12+AP12+AV12</f>
        <v>0</v>
      </c>
      <c r="S12" s="274">
        <f>AE12+AK12+AQ12+AX12</f>
        <v>389</v>
      </c>
      <c r="T12" s="494">
        <f t="shared" ref="T12:Y12" si="4">SUM(T13:T16)</f>
        <v>179</v>
      </c>
      <c r="U12" s="494">
        <f t="shared" si="4"/>
        <v>16</v>
      </c>
      <c r="V12" s="494">
        <f t="shared" si="4"/>
        <v>14</v>
      </c>
      <c r="W12" s="494">
        <f t="shared" si="4"/>
        <v>0</v>
      </c>
      <c r="X12" s="494">
        <f t="shared" si="4"/>
        <v>0</v>
      </c>
      <c r="Y12" s="494">
        <f t="shared" si="4"/>
        <v>149</v>
      </c>
      <c r="Z12" s="494">
        <f t="shared" ref="Z12:AX12" si="5">SUM(Z13:Z16)</f>
        <v>183</v>
      </c>
      <c r="AA12" s="494">
        <f t="shared" si="5"/>
        <v>12</v>
      </c>
      <c r="AB12" s="494">
        <f t="shared" si="5"/>
        <v>12</v>
      </c>
      <c r="AC12" s="494">
        <f t="shared" si="5"/>
        <v>0</v>
      </c>
      <c r="AD12" s="494">
        <f t="shared" si="5"/>
        <v>0</v>
      </c>
      <c r="AE12" s="494">
        <f t="shared" si="5"/>
        <v>159</v>
      </c>
      <c r="AF12" s="494">
        <f t="shared" si="5"/>
        <v>123</v>
      </c>
      <c r="AG12" s="494">
        <f t="shared" si="5"/>
        <v>0</v>
      </c>
      <c r="AH12" s="494">
        <f t="shared" si="5"/>
        <v>10</v>
      </c>
      <c r="AI12" s="494">
        <f t="shared" si="5"/>
        <v>0</v>
      </c>
      <c r="AJ12" s="494">
        <f t="shared" si="5"/>
        <v>0</v>
      </c>
      <c r="AK12" s="494">
        <f t="shared" si="5"/>
        <v>113</v>
      </c>
      <c r="AL12" s="494">
        <f t="shared" si="5"/>
        <v>127</v>
      </c>
      <c r="AM12" s="494">
        <f t="shared" si="5"/>
        <v>0</v>
      </c>
      <c r="AN12" s="494">
        <f t="shared" si="5"/>
        <v>10</v>
      </c>
      <c r="AO12" s="494">
        <f t="shared" si="5"/>
        <v>0</v>
      </c>
      <c r="AP12" s="494">
        <f t="shared" si="5"/>
        <v>0</v>
      </c>
      <c r="AQ12" s="494">
        <f t="shared" si="5"/>
        <v>117</v>
      </c>
      <c r="AR12" s="494">
        <f t="shared" si="5"/>
        <v>0</v>
      </c>
      <c r="AS12" s="494">
        <f t="shared" si="5"/>
        <v>0</v>
      </c>
      <c r="AT12" s="494">
        <f t="shared" si="5"/>
        <v>0</v>
      </c>
      <c r="AU12" s="494">
        <f t="shared" si="5"/>
        <v>0</v>
      </c>
      <c r="AV12" s="494">
        <f t="shared" si="5"/>
        <v>0</v>
      </c>
      <c r="AW12" s="494">
        <f t="shared" si="5"/>
        <v>0</v>
      </c>
      <c r="AX12" s="494">
        <f t="shared" si="5"/>
        <v>0</v>
      </c>
      <c r="AY12" s="474">
        <f>'Учебный план (очная)'!CD29</f>
        <v>0</v>
      </c>
      <c r="AZ12" s="474">
        <f>'Учебный план (очная)'!CE29</f>
        <v>0</v>
      </c>
    </row>
    <row r="13" spans="1:52" s="213" customFormat="1" ht="26.1" customHeight="1" x14ac:dyDescent="0.2">
      <c r="A13" s="536" t="str">
        <f>'Учебный план (очная)'!A30</f>
        <v>ОГСЭ.01</v>
      </c>
      <c r="B13" s="536" t="str">
        <f>'Учебный план (очная)'!B30</f>
        <v>Основы философии</v>
      </c>
      <c r="C13" s="134"/>
      <c r="D13" s="135"/>
      <c r="E13" s="135" t="s">
        <v>27</v>
      </c>
      <c r="F13" s="135"/>
      <c r="G13" s="135"/>
      <c r="H13" s="135"/>
      <c r="I13" s="139">
        <f>K13-M13</f>
        <v>0</v>
      </c>
      <c r="J13" s="537">
        <f>L13*$J$3</f>
        <v>14.4</v>
      </c>
      <c r="K13" s="538">
        <f>'Учебный план (очная)'!K30</f>
        <v>61</v>
      </c>
      <c r="L13" s="538">
        <f>'Учебный план (очная)'!L30</f>
        <v>48</v>
      </c>
      <c r="M13" s="138">
        <f>SUM(N13+S13)</f>
        <v>61</v>
      </c>
      <c r="N13" s="138">
        <f t="shared" si="3"/>
        <v>14</v>
      </c>
      <c r="O13" s="138">
        <f t="shared" ref="O13:O31" si="6">U13+AA13+AG13+AM13+AS13</f>
        <v>14</v>
      </c>
      <c r="P13" s="138">
        <f t="shared" ref="P13:P31" si="7">V13+AB13+AH13+AN13+AT13</f>
        <v>0</v>
      </c>
      <c r="Q13" s="138">
        <f t="shared" ref="Q13:Q31" si="8">W13+AC13+AI13+AO13+AU13</f>
        <v>0</v>
      </c>
      <c r="R13" s="138">
        <f t="shared" ref="R13:R31" si="9">X13+AD13+AJ13+AP13+AV13</f>
        <v>0</v>
      </c>
      <c r="S13" s="138">
        <f t="shared" ref="S13:S31" si="10">Y13+AE13+AK13+AQ13+AX13</f>
        <v>47</v>
      </c>
      <c r="T13" s="237">
        <f>SUM(U13:Y13)</f>
        <v>61</v>
      </c>
      <c r="U13" s="139">
        <v>14</v>
      </c>
      <c r="V13" s="139"/>
      <c r="W13" s="139"/>
      <c r="X13" s="139"/>
      <c r="Y13" s="139">
        <v>47</v>
      </c>
      <c r="Z13" s="237">
        <f>SUM(AA13:AE13)</f>
        <v>0</v>
      </c>
      <c r="AA13" s="139"/>
      <c r="AB13" s="139"/>
      <c r="AC13" s="139"/>
      <c r="AD13" s="139"/>
      <c r="AE13" s="139"/>
      <c r="AF13" s="237">
        <f>SUM(AG13:AK13)</f>
        <v>0</v>
      </c>
      <c r="AG13" s="139"/>
      <c r="AH13" s="139"/>
      <c r="AI13" s="139"/>
      <c r="AJ13" s="139"/>
      <c r="AK13" s="139"/>
      <c r="AL13" s="237">
        <f>SUM(AM13:AQ13)</f>
        <v>0</v>
      </c>
      <c r="AM13" s="139"/>
      <c r="AN13" s="139"/>
      <c r="AO13" s="139"/>
      <c r="AP13" s="139"/>
      <c r="AQ13" s="139"/>
      <c r="AR13" s="237">
        <f>SUM(AS13:AX13)</f>
        <v>0</v>
      </c>
      <c r="AS13" s="139"/>
      <c r="AT13" s="139"/>
      <c r="AU13" s="139"/>
      <c r="AV13" s="139"/>
      <c r="AW13" s="139"/>
      <c r="AX13" s="139"/>
      <c r="AY13" s="135" t="str">
        <f>'Учебный план (очная)'!CD30</f>
        <v>64-1</v>
      </c>
      <c r="AZ13" s="135" t="str">
        <f>'Учебный план (очная)'!CE30</f>
        <v>ОК 1-10</v>
      </c>
    </row>
    <row r="14" spans="1:52" s="213" customFormat="1" ht="26.1" customHeight="1" x14ac:dyDescent="0.2">
      <c r="A14" s="536" t="str">
        <f>'Учебный план (очная)'!A31</f>
        <v>ОГСЭ.02</v>
      </c>
      <c r="B14" s="536" t="str">
        <f>'Учебный план (очная)'!B31</f>
        <v>История</v>
      </c>
      <c r="C14" s="134"/>
      <c r="D14" s="135"/>
      <c r="E14" s="135" t="s">
        <v>27</v>
      </c>
      <c r="F14" s="135"/>
      <c r="G14" s="135"/>
      <c r="H14" s="135"/>
      <c r="I14" s="139">
        <f t="shared" ref="I14:I20" si="11">K14-M14</f>
        <v>0</v>
      </c>
      <c r="J14" s="537">
        <f t="shared" ref="J14:J15" si="12">L14*$J$3</f>
        <v>14.4</v>
      </c>
      <c r="K14" s="538">
        <f>'Учебный план (очная)'!K31</f>
        <v>61</v>
      </c>
      <c r="L14" s="538">
        <f>'Учебный план (очная)'!L31</f>
        <v>48</v>
      </c>
      <c r="M14" s="138">
        <f t="shared" ref="M14:M72" si="13">SUM(N14+S14)</f>
        <v>61</v>
      </c>
      <c r="N14" s="138">
        <f t="shared" si="3"/>
        <v>12</v>
      </c>
      <c r="O14" s="138">
        <f t="shared" si="6"/>
        <v>12</v>
      </c>
      <c r="P14" s="138">
        <f t="shared" si="7"/>
        <v>0</v>
      </c>
      <c r="Q14" s="138">
        <f t="shared" si="8"/>
        <v>0</v>
      </c>
      <c r="R14" s="138">
        <f t="shared" si="9"/>
        <v>0</v>
      </c>
      <c r="S14" s="138">
        <f t="shared" si="10"/>
        <v>49</v>
      </c>
      <c r="T14" s="237">
        <f>SUM(U14:Y14)</f>
        <v>0</v>
      </c>
      <c r="U14" s="139"/>
      <c r="V14" s="139"/>
      <c r="W14" s="139"/>
      <c r="X14" s="139"/>
      <c r="Y14" s="139"/>
      <c r="Z14" s="237">
        <f>SUM(AA14:AE14)</f>
        <v>61</v>
      </c>
      <c r="AA14" s="139">
        <v>12</v>
      </c>
      <c r="AB14" s="139"/>
      <c r="AC14" s="139"/>
      <c r="AD14" s="139"/>
      <c r="AE14" s="139">
        <v>49</v>
      </c>
      <c r="AF14" s="237">
        <f>SUM(AG14:AK14)</f>
        <v>0</v>
      </c>
      <c r="AG14" s="139"/>
      <c r="AH14" s="139"/>
      <c r="AI14" s="139"/>
      <c r="AJ14" s="139"/>
      <c r="AK14" s="139"/>
      <c r="AL14" s="237">
        <f>SUM(AM14:AQ14)</f>
        <v>0</v>
      </c>
      <c r="AM14" s="139"/>
      <c r="AN14" s="139"/>
      <c r="AO14" s="139"/>
      <c r="AP14" s="139"/>
      <c r="AQ14" s="139"/>
      <c r="AR14" s="237">
        <f>SUM(AS14:AX14)</f>
        <v>0</v>
      </c>
      <c r="AS14" s="139"/>
      <c r="AT14" s="139"/>
      <c r="AU14" s="139"/>
      <c r="AV14" s="139"/>
      <c r="AW14" s="139"/>
      <c r="AX14" s="139"/>
      <c r="AY14" s="135" t="str">
        <f>'Учебный план (очная)'!CD31</f>
        <v>64-1</v>
      </c>
      <c r="AZ14" s="135" t="str">
        <f>'Учебный план (очная)'!CE31</f>
        <v>ОК 1-10</v>
      </c>
    </row>
    <row r="15" spans="1:52" s="213" customFormat="1" ht="26.1" customHeight="1" x14ac:dyDescent="0.2">
      <c r="A15" s="536" t="str">
        <f>'Учебный план (очная)'!A32</f>
        <v>ОГСЭ.03</v>
      </c>
      <c r="B15" s="536" t="str">
        <f>'Учебный план (очная)'!B32</f>
        <v>Иностранный язык</v>
      </c>
      <c r="C15" s="134"/>
      <c r="D15" s="421" t="s">
        <v>29</v>
      </c>
      <c r="E15" s="421" t="s">
        <v>39</v>
      </c>
      <c r="F15" s="135"/>
      <c r="G15" s="135"/>
      <c r="H15" s="421" t="s">
        <v>249</v>
      </c>
      <c r="I15" s="139">
        <f t="shared" si="11"/>
        <v>0</v>
      </c>
      <c r="J15" s="537">
        <f t="shared" si="12"/>
        <v>46.8</v>
      </c>
      <c r="K15" s="538">
        <f>'Учебный план (очная)'!K32</f>
        <v>178</v>
      </c>
      <c r="L15" s="538">
        <f>'Учебный план (очная)'!L32</f>
        <v>156</v>
      </c>
      <c r="M15" s="138">
        <f t="shared" si="13"/>
        <v>178</v>
      </c>
      <c r="N15" s="138">
        <f t="shared" si="3"/>
        <v>46</v>
      </c>
      <c r="O15" s="138">
        <f t="shared" si="6"/>
        <v>0</v>
      </c>
      <c r="P15" s="138">
        <f t="shared" si="7"/>
        <v>46</v>
      </c>
      <c r="Q15" s="138">
        <f t="shared" si="8"/>
        <v>0</v>
      </c>
      <c r="R15" s="138">
        <f t="shared" si="9"/>
        <v>0</v>
      </c>
      <c r="S15" s="138">
        <f t="shared" si="10"/>
        <v>132</v>
      </c>
      <c r="T15" s="237">
        <f>SUM(U15:Y15)</f>
        <v>44</v>
      </c>
      <c r="U15" s="139"/>
      <c r="V15" s="139">
        <v>14</v>
      </c>
      <c r="W15" s="139"/>
      <c r="X15" s="139"/>
      <c r="Y15" s="139">
        <v>30</v>
      </c>
      <c r="Z15" s="237">
        <f>SUM(AA15:AE15)</f>
        <v>44</v>
      </c>
      <c r="AA15" s="139"/>
      <c r="AB15" s="139">
        <v>12</v>
      </c>
      <c r="AC15" s="139"/>
      <c r="AD15" s="139"/>
      <c r="AE15" s="139">
        <v>32</v>
      </c>
      <c r="AF15" s="237">
        <f>SUM(AG15:AK15)</f>
        <v>45</v>
      </c>
      <c r="AG15" s="139"/>
      <c r="AH15" s="139">
        <v>10</v>
      </c>
      <c r="AI15" s="139"/>
      <c r="AJ15" s="139"/>
      <c r="AK15" s="139">
        <v>35</v>
      </c>
      <c r="AL15" s="237">
        <f>SUM(AM15:AQ15)</f>
        <v>45</v>
      </c>
      <c r="AM15" s="139"/>
      <c r="AN15" s="139">
        <v>10</v>
      </c>
      <c r="AO15" s="139"/>
      <c r="AP15" s="139"/>
      <c r="AQ15" s="139">
        <v>35</v>
      </c>
      <c r="AR15" s="237">
        <f>SUM(AS15:AX15)</f>
        <v>0</v>
      </c>
      <c r="AS15" s="139"/>
      <c r="AT15" s="139"/>
      <c r="AU15" s="139"/>
      <c r="AV15" s="139"/>
      <c r="AW15" s="139"/>
      <c r="AX15" s="139"/>
      <c r="AY15" s="135" t="str">
        <f>'Учебный план (очная)'!CD32</f>
        <v>64-1</v>
      </c>
      <c r="AZ15" s="135" t="str">
        <f>'Учебный план (очная)'!CE32</f>
        <v>ОК 1-10</v>
      </c>
    </row>
    <row r="16" spans="1:52" s="213" customFormat="1" ht="26.1" customHeight="1" x14ac:dyDescent="0.2">
      <c r="A16" s="536" t="str">
        <f>'Учебный план (очная)'!A33</f>
        <v>ОГСЭ.04</v>
      </c>
      <c r="B16" s="536" t="str">
        <f>'Учебный план (очная)'!B33</f>
        <v>Физическая культура</v>
      </c>
      <c r="C16" s="134"/>
      <c r="D16" s="135"/>
      <c r="E16" s="135" t="s">
        <v>39</v>
      </c>
      <c r="F16" s="135"/>
      <c r="G16" s="135"/>
      <c r="H16" s="135"/>
      <c r="I16" s="139">
        <f t="shared" si="11"/>
        <v>0</v>
      </c>
      <c r="J16" s="537"/>
      <c r="K16" s="538">
        <f>'Учебный план (очная)'!K33</f>
        <v>312</v>
      </c>
      <c r="L16" s="538">
        <f>'Учебный план (очная)'!L33</f>
        <v>156</v>
      </c>
      <c r="M16" s="138">
        <f t="shared" si="13"/>
        <v>312</v>
      </c>
      <c r="N16" s="138">
        <f t="shared" si="3"/>
        <v>2</v>
      </c>
      <c r="O16" s="138">
        <f t="shared" si="6"/>
        <v>2</v>
      </c>
      <c r="P16" s="138">
        <f t="shared" si="7"/>
        <v>0</v>
      </c>
      <c r="Q16" s="138">
        <f t="shared" si="8"/>
        <v>0</v>
      </c>
      <c r="R16" s="138">
        <f t="shared" si="9"/>
        <v>0</v>
      </c>
      <c r="S16" s="138">
        <f t="shared" si="10"/>
        <v>310</v>
      </c>
      <c r="T16" s="237">
        <f>SUM(U16:Y16)</f>
        <v>74</v>
      </c>
      <c r="U16" s="139">
        <v>2</v>
      </c>
      <c r="V16" s="139"/>
      <c r="W16" s="139"/>
      <c r="X16" s="139"/>
      <c r="Y16" s="139">
        <v>72</v>
      </c>
      <c r="Z16" s="237">
        <f>SUM(AA16:AE16)</f>
        <v>78</v>
      </c>
      <c r="AA16" s="139"/>
      <c r="AB16" s="139"/>
      <c r="AC16" s="139"/>
      <c r="AD16" s="139"/>
      <c r="AE16" s="139">
        <v>78</v>
      </c>
      <c r="AF16" s="237">
        <f>SUM(AG16:AK16)</f>
        <v>78</v>
      </c>
      <c r="AG16" s="139"/>
      <c r="AH16" s="139"/>
      <c r="AI16" s="139"/>
      <c r="AJ16" s="139"/>
      <c r="AK16" s="139">
        <v>78</v>
      </c>
      <c r="AL16" s="237">
        <f>SUM(AM16:AQ16)</f>
        <v>82</v>
      </c>
      <c r="AM16" s="139"/>
      <c r="AN16" s="139"/>
      <c r="AO16" s="139"/>
      <c r="AP16" s="139"/>
      <c r="AQ16" s="139">
        <v>82</v>
      </c>
      <c r="AR16" s="237">
        <f>SUM(AS16:AX16)</f>
        <v>0</v>
      </c>
      <c r="AS16" s="139"/>
      <c r="AT16" s="139"/>
      <c r="AU16" s="139"/>
      <c r="AV16" s="139"/>
      <c r="AW16" s="139"/>
      <c r="AX16" s="139"/>
      <c r="AY16" s="135" t="str">
        <f>'Учебный план (очная)'!CD33</f>
        <v>33</v>
      </c>
      <c r="AZ16" s="135" t="str">
        <f>'Учебный план (очная)'!CE33</f>
        <v>ОК 2,3,6,7</v>
      </c>
    </row>
    <row r="17" spans="1:52" s="176" customFormat="1" ht="26.1" customHeight="1" x14ac:dyDescent="0.2">
      <c r="A17" s="539" t="str">
        <f>'Учебный план (очная)'!A34</f>
        <v>ЕН.00</v>
      </c>
      <c r="B17" s="743" t="str">
        <f>'Учебный план (очная)'!B34:H34</f>
        <v>Математический и общий естественнонаучный цикл</v>
      </c>
      <c r="C17" s="743"/>
      <c r="D17" s="743"/>
      <c r="E17" s="743"/>
      <c r="F17" s="743"/>
      <c r="G17" s="743"/>
      <c r="H17" s="743"/>
      <c r="I17" s="539"/>
      <c r="J17" s="539"/>
      <c r="K17" s="494">
        <f>'Учебный план (очная)'!K34</f>
        <v>162</v>
      </c>
      <c r="L17" s="494">
        <f>'Учебный план (очная)'!L34</f>
        <v>108</v>
      </c>
      <c r="M17" s="274">
        <f t="shared" si="13"/>
        <v>162</v>
      </c>
      <c r="N17" s="274">
        <f t="shared" si="3"/>
        <v>28</v>
      </c>
      <c r="O17" s="274">
        <f t="shared" si="6"/>
        <v>20</v>
      </c>
      <c r="P17" s="274">
        <f t="shared" si="7"/>
        <v>8</v>
      </c>
      <c r="Q17" s="274">
        <f t="shared" si="8"/>
        <v>0</v>
      </c>
      <c r="R17" s="274">
        <f t="shared" si="9"/>
        <v>0</v>
      </c>
      <c r="S17" s="274">
        <f t="shared" si="10"/>
        <v>134</v>
      </c>
      <c r="T17" s="494">
        <f>SUM(T18:T20)</f>
        <v>108</v>
      </c>
      <c r="U17" s="494">
        <f t="shared" ref="U17:Y17" si="14">SUM(U18:U20)</f>
        <v>12</v>
      </c>
      <c r="V17" s="494">
        <f t="shared" si="14"/>
        <v>8</v>
      </c>
      <c r="W17" s="494">
        <f t="shared" si="14"/>
        <v>0</v>
      </c>
      <c r="X17" s="494">
        <f t="shared" si="14"/>
        <v>0</v>
      </c>
      <c r="Y17" s="494">
        <f t="shared" si="14"/>
        <v>88</v>
      </c>
      <c r="Z17" s="494">
        <f>SUM(Z18:Z20)</f>
        <v>54</v>
      </c>
      <c r="AA17" s="494">
        <f t="shared" ref="AA17:AE17" si="15">SUM(AA18:AA20)</f>
        <v>8</v>
      </c>
      <c r="AB17" s="494">
        <f t="shared" si="15"/>
        <v>0</v>
      </c>
      <c r="AC17" s="494">
        <f t="shared" si="15"/>
        <v>0</v>
      </c>
      <c r="AD17" s="494">
        <f t="shared" si="15"/>
        <v>0</v>
      </c>
      <c r="AE17" s="494">
        <f t="shared" si="15"/>
        <v>46</v>
      </c>
      <c r="AF17" s="494">
        <f>SUM(AF18:AF20)</f>
        <v>0</v>
      </c>
      <c r="AG17" s="494">
        <f t="shared" ref="AG17:AK17" si="16">SUM(AG18:AG20)</f>
        <v>0</v>
      </c>
      <c r="AH17" s="494">
        <f t="shared" si="16"/>
        <v>0</v>
      </c>
      <c r="AI17" s="494">
        <f t="shared" si="16"/>
        <v>0</v>
      </c>
      <c r="AJ17" s="494">
        <f t="shared" si="16"/>
        <v>0</v>
      </c>
      <c r="AK17" s="494">
        <f t="shared" si="16"/>
        <v>0</v>
      </c>
      <c r="AL17" s="494">
        <f>SUM(AL18:AL20)</f>
        <v>0</v>
      </c>
      <c r="AM17" s="494">
        <f t="shared" ref="AM17:AQ17" si="17">SUM(AM18:AM20)</f>
        <v>0</v>
      </c>
      <c r="AN17" s="494">
        <f t="shared" si="17"/>
        <v>0</v>
      </c>
      <c r="AO17" s="494">
        <f t="shared" si="17"/>
        <v>0</v>
      </c>
      <c r="AP17" s="494">
        <f t="shared" si="17"/>
        <v>0</v>
      </c>
      <c r="AQ17" s="494">
        <f t="shared" si="17"/>
        <v>0</v>
      </c>
      <c r="AR17" s="494">
        <f>SUM(AR18:AR20)</f>
        <v>0</v>
      </c>
      <c r="AS17" s="494">
        <f t="shared" ref="AS17:AX17" si="18">SUM(AS18:AS20)</f>
        <v>0</v>
      </c>
      <c r="AT17" s="494">
        <f t="shared" si="18"/>
        <v>0</v>
      </c>
      <c r="AU17" s="494">
        <f t="shared" si="18"/>
        <v>0</v>
      </c>
      <c r="AV17" s="494">
        <f t="shared" si="18"/>
        <v>0</v>
      </c>
      <c r="AW17" s="494">
        <f t="shared" si="18"/>
        <v>0</v>
      </c>
      <c r="AX17" s="494">
        <f t="shared" si="18"/>
        <v>0</v>
      </c>
      <c r="AY17" s="474">
        <f>'Учебный план (очная)'!CD34</f>
        <v>0</v>
      </c>
      <c r="AZ17" s="474">
        <f>'Учебный план (очная)'!CE34</f>
        <v>0</v>
      </c>
    </row>
    <row r="18" spans="1:52" s="213" customFormat="1" ht="26.1" customHeight="1" x14ac:dyDescent="0.2">
      <c r="A18" s="536" t="str">
        <f>'Учебный план (очная)'!A35</f>
        <v>ЕН.01</v>
      </c>
      <c r="B18" s="536" t="str">
        <f>'Учебный план (очная)'!B35</f>
        <v>Математика</v>
      </c>
      <c r="C18" s="134"/>
      <c r="D18" s="135"/>
      <c r="E18" s="135" t="s">
        <v>27</v>
      </c>
      <c r="F18" s="135"/>
      <c r="G18" s="135"/>
      <c r="H18" s="135"/>
      <c r="I18" s="139">
        <f t="shared" si="11"/>
        <v>0</v>
      </c>
      <c r="J18" s="537">
        <f t="shared" ref="J18:J20" si="19">L18*$J$3</f>
        <v>10.8</v>
      </c>
      <c r="K18" s="538">
        <f>'Учебный план (очная)'!K35</f>
        <v>54</v>
      </c>
      <c r="L18" s="538">
        <f>'Учебный план (очная)'!L35</f>
        <v>36</v>
      </c>
      <c r="M18" s="138">
        <f t="shared" si="13"/>
        <v>54</v>
      </c>
      <c r="N18" s="138">
        <f t="shared" si="3"/>
        <v>10</v>
      </c>
      <c r="O18" s="138">
        <f t="shared" si="6"/>
        <v>10</v>
      </c>
      <c r="P18" s="138">
        <f t="shared" si="7"/>
        <v>0</v>
      </c>
      <c r="Q18" s="138">
        <f t="shared" si="8"/>
        <v>0</v>
      </c>
      <c r="R18" s="138">
        <f t="shared" si="9"/>
        <v>0</v>
      </c>
      <c r="S18" s="138">
        <f t="shared" si="10"/>
        <v>44</v>
      </c>
      <c r="T18" s="237">
        <f>SUM(U18:Y18)</f>
        <v>54</v>
      </c>
      <c r="U18" s="139">
        <v>10</v>
      </c>
      <c r="V18" s="139"/>
      <c r="W18" s="139"/>
      <c r="X18" s="139"/>
      <c r="Y18" s="139">
        <v>44</v>
      </c>
      <c r="Z18" s="237">
        <f>SUM(AA18:AE18)</f>
        <v>0</v>
      </c>
      <c r="AA18" s="139"/>
      <c r="AB18" s="139"/>
      <c r="AC18" s="139"/>
      <c r="AD18" s="139"/>
      <c r="AE18" s="139"/>
      <c r="AF18" s="237">
        <f>SUM(AG18:AK18)</f>
        <v>0</v>
      </c>
      <c r="AG18" s="139"/>
      <c r="AH18" s="139"/>
      <c r="AI18" s="139"/>
      <c r="AJ18" s="139"/>
      <c r="AK18" s="139"/>
      <c r="AL18" s="237">
        <f>SUM(AM18:AQ18)</f>
        <v>0</v>
      </c>
      <c r="AM18" s="139"/>
      <c r="AN18" s="139"/>
      <c r="AO18" s="139"/>
      <c r="AP18" s="139"/>
      <c r="AQ18" s="139"/>
      <c r="AR18" s="237">
        <f>SUM(AS18:AX18)</f>
        <v>0</v>
      </c>
      <c r="AS18" s="139"/>
      <c r="AT18" s="139"/>
      <c r="AU18" s="139"/>
      <c r="AV18" s="139"/>
      <c r="AW18" s="139"/>
      <c r="AX18" s="139"/>
      <c r="AY18" s="135" t="str">
        <f>'Учебный план (очная)'!CD35</f>
        <v>64-2</v>
      </c>
      <c r="AZ18" s="135" t="str">
        <f>'Учебный план (очная)'!CE35</f>
        <v>ОК 1-10,ПК 1.1-1.5, 3.1-3.7</v>
      </c>
    </row>
    <row r="19" spans="1:52" s="213" customFormat="1" ht="26.1" customHeight="1" x14ac:dyDescent="0.2">
      <c r="A19" s="536" t="str">
        <f>'Учебный план (очная)'!A36</f>
        <v>ЕН.02</v>
      </c>
      <c r="B19" s="536" t="str">
        <f>'Учебный план (очная)'!B36</f>
        <v>Информатика</v>
      </c>
      <c r="C19" s="134"/>
      <c r="D19" s="135"/>
      <c r="E19" s="135" t="s">
        <v>27</v>
      </c>
      <c r="F19" s="135"/>
      <c r="G19" s="135"/>
      <c r="H19" s="135"/>
      <c r="I19" s="139">
        <f t="shared" si="11"/>
        <v>0</v>
      </c>
      <c r="J19" s="537">
        <f t="shared" si="19"/>
        <v>10.8</v>
      </c>
      <c r="K19" s="538">
        <f>'Учебный план (очная)'!K36</f>
        <v>54</v>
      </c>
      <c r="L19" s="538">
        <f>'Учебный план (очная)'!L36</f>
        <v>36</v>
      </c>
      <c r="M19" s="138">
        <f t="shared" si="13"/>
        <v>54</v>
      </c>
      <c r="N19" s="138">
        <f t="shared" si="3"/>
        <v>10</v>
      </c>
      <c r="O19" s="138">
        <f t="shared" si="6"/>
        <v>2</v>
      </c>
      <c r="P19" s="138">
        <f t="shared" si="7"/>
        <v>8</v>
      </c>
      <c r="Q19" s="138">
        <f t="shared" si="8"/>
        <v>0</v>
      </c>
      <c r="R19" s="138">
        <f t="shared" si="9"/>
        <v>0</v>
      </c>
      <c r="S19" s="138">
        <f t="shared" si="10"/>
        <v>44</v>
      </c>
      <c r="T19" s="237">
        <f>SUM(U19:Y19)</f>
        <v>54</v>
      </c>
      <c r="U19" s="139">
        <v>2</v>
      </c>
      <c r="V19" s="139">
        <v>8</v>
      </c>
      <c r="W19" s="139"/>
      <c r="X19" s="139"/>
      <c r="Y19" s="139">
        <v>44</v>
      </c>
      <c r="Z19" s="237">
        <f>SUM(AA19:AE19)</f>
        <v>0</v>
      </c>
      <c r="AA19" s="139"/>
      <c r="AB19" s="139"/>
      <c r="AC19" s="139"/>
      <c r="AD19" s="139"/>
      <c r="AE19" s="139"/>
      <c r="AF19" s="237">
        <f>SUM(AG19:AK19)</f>
        <v>0</v>
      </c>
      <c r="AG19" s="139"/>
      <c r="AH19" s="139"/>
      <c r="AI19" s="139"/>
      <c r="AJ19" s="139"/>
      <c r="AK19" s="139"/>
      <c r="AL19" s="237">
        <f>SUM(AM19:AQ19)</f>
        <v>0</v>
      </c>
      <c r="AM19" s="139"/>
      <c r="AN19" s="139"/>
      <c r="AO19" s="139"/>
      <c r="AP19" s="139"/>
      <c r="AQ19" s="139"/>
      <c r="AR19" s="237">
        <f>SUM(AS19:AX19)</f>
        <v>0</v>
      </c>
      <c r="AS19" s="139"/>
      <c r="AT19" s="139"/>
      <c r="AU19" s="139"/>
      <c r="AV19" s="139"/>
      <c r="AW19" s="139"/>
      <c r="AX19" s="139"/>
      <c r="AY19" s="135" t="str">
        <f>'Учебный план (очная)'!CD36</f>
        <v>64-2</v>
      </c>
      <c r="AZ19" s="135" t="str">
        <f>'Учебный план (очная)'!CE36</f>
        <v>ОК 1-10,ПК 1.1-1.5, 3.1-3.7</v>
      </c>
    </row>
    <row r="20" spans="1:52" s="213" customFormat="1" ht="26.1" customHeight="1" x14ac:dyDescent="0.2">
      <c r="A20" s="536" t="str">
        <f>'Учебный план (очная)'!A37</f>
        <v>ЕН.03</v>
      </c>
      <c r="B20" s="536" t="str">
        <f>'Учебный план (очная)'!B37</f>
        <v>Экологические основы природопользования</v>
      </c>
      <c r="C20" s="134"/>
      <c r="D20" s="135"/>
      <c r="E20" s="135" t="s">
        <v>30</v>
      </c>
      <c r="F20" s="135"/>
      <c r="G20" s="135"/>
      <c r="H20" s="135"/>
      <c r="I20" s="139">
        <f t="shared" si="11"/>
        <v>0</v>
      </c>
      <c r="J20" s="537">
        <f t="shared" si="19"/>
        <v>10.8</v>
      </c>
      <c r="K20" s="538">
        <f>'Учебный план (очная)'!K37</f>
        <v>54</v>
      </c>
      <c r="L20" s="538">
        <f>'Учебный план (очная)'!L37</f>
        <v>36</v>
      </c>
      <c r="M20" s="138">
        <f t="shared" si="13"/>
        <v>54</v>
      </c>
      <c r="N20" s="138">
        <f t="shared" si="3"/>
        <v>8</v>
      </c>
      <c r="O20" s="138">
        <f t="shared" si="6"/>
        <v>8</v>
      </c>
      <c r="P20" s="138">
        <f t="shared" si="7"/>
        <v>0</v>
      </c>
      <c r="Q20" s="138">
        <f t="shared" si="8"/>
        <v>0</v>
      </c>
      <c r="R20" s="138">
        <f t="shared" si="9"/>
        <v>0</v>
      </c>
      <c r="S20" s="138">
        <f t="shared" si="10"/>
        <v>46</v>
      </c>
      <c r="T20" s="237">
        <f>SUM(U20:Y20)</f>
        <v>0</v>
      </c>
      <c r="U20" s="139"/>
      <c r="V20" s="139"/>
      <c r="W20" s="139"/>
      <c r="X20" s="139"/>
      <c r="Y20" s="139"/>
      <c r="Z20" s="237">
        <f>SUM(AA20:AE20)</f>
        <v>54</v>
      </c>
      <c r="AA20" s="139">
        <v>8</v>
      </c>
      <c r="AB20" s="139"/>
      <c r="AC20" s="139"/>
      <c r="AD20" s="139"/>
      <c r="AE20" s="139">
        <v>46</v>
      </c>
      <c r="AF20" s="237">
        <f>SUM(AG20:AK20)</f>
        <v>0</v>
      </c>
      <c r="AG20" s="139"/>
      <c r="AH20" s="139"/>
      <c r="AI20" s="139"/>
      <c r="AJ20" s="139"/>
      <c r="AK20" s="139"/>
      <c r="AL20" s="237">
        <f>SUM(AM20:AQ20)</f>
        <v>0</v>
      </c>
      <c r="AM20" s="139"/>
      <c r="AN20" s="139"/>
      <c r="AO20" s="139"/>
      <c r="AP20" s="139"/>
      <c r="AQ20" s="139"/>
      <c r="AR20" s="237">
        <f>SUM(AS20:AX20)</f>
        <v>0</v>
      </c>
      <c r="AS20" s="139"/>
      <c r="AT20" s="139"/>
      <c r="AU20" s="139"/>
      <c r="AV20" s="139"/>
      <c r="AW20" s="139"/>
      <c r="AX20" s="139"/>
      <c r="AY20" s="135" t="str">
        <f>'Учебный план (очная)'!CD37</f>
        <v>64-2</v>
      </c>
      <c r="AZ20" s="135" t="str">
        <f>'Учебный план (очная)'!CE37</f>
        <v>ОК 1-10,ПК 1.1-1.5, 2.1-2.2, 3.1-3.7</v>
      </c>
    </row>
    <row r="21" spans="1:52" ht="26.1" customHeight="1" x14ac:dyDescent="0.2">
      <c r="A21" s="308" t="str">
        <f>'Учебный план (очная)'!A38</f>
        <v>П.00</v>
      </c>
      <c r="B21" s="308" t="str">
        <f>'Учебный план (очная)'!B38</f>
        <v>Профессиональный учебный цикл</v>
      </c>
      <c r="C21" s="540"/>
      <c r="D21" s="273" t="s">
        <v>26</v>
      </c>
      <c r="E21" s="273"/>
      <c r="F21" s="273"/>
      <c r="G21" s="273"/>
      <c r="H21" s="273"/>
      <c r="I21" s="273"/>
      <c r="J21" s="273"/>
      <c r="K21" s="494">
        <f>'Учебный план (очная)'!K38</f>
        <v>2380</v>
      </c>
      <c r="L21" s="494">
        <f>'Учебный план (очная)'!L38</f>
        <v>1587</v>
      </c>
      <c r="M21" s="274">
        <f t="shared" si="13"/>
        <v>2380</v>
      </c>
      <c r="N21" s="274">
        <f t="shared" si="3"/>
        <v>438</v>
      </c>
      <c r="O21" s="274">
        <f t="shared" si="6"/>
        <v>354</v>
      </c>
      <c r="P21" s="274">
        <f t="shared" si="7"/>
        <v>84</v>
      </c>
      <c r="Q21" s="274">
        <f t="shared" si="8"/>
        <v>0</v>
      </c>
      <c r="R21" s="274">
        <f t="shared" si="9"/>
        <v>0</v>
      </c>
      <c r="S21" s="274">
        <f t="shared" si="10"/>
        <v>1942</v>
      </c>
      <c r="T21" s="494">
        <f t="shared" ref="T21:AQ21" si="20">SUM(T22+T30)</f>
        <v>439</v>
      </c>
      <c r="U21" s="494">
        <f t="shared" si="20"/>
        <v>56</v>
      </c>
      <c r="V21" s="494">
        <f t="shared" si="20"/>
        <v>34</v>
      </c>
      <c r="W21" s="494">
        <f t="shared" si="20"/>
        <v>0</v>
      </c>
      <c r="X21" s="494">
        <f t="shared" si="20"/>
        <v>0</v>
      </c>
      <c r="Y21" s="494">
        <f t="shared" si="20"/>
        <v>349</v>
      </c>
      <c r="Z21" s="494">
        <f t="shared" si="20"/>
        <v>506</v>
      </c>
      <c r="AA21" s="494">
        <f t="shared" si="20"/>
        <v>78</v>
      </c>
      <c r="AB21" s="494">
        <f t="shared" si="20"/>
        <v>20</v>
      </c>
      <c r="AC21" s="494">
        <f t="shared" si="20"/>
        <v>0</v>
      </c>
      <c r="AD21" s="494">
        <f t="shared" si="20"/>
        <v>0</v>
      </c>
      <c r="AE21" s="494">
        <f t="shared" si="20"/>
        <v>408</v>
      </c>
      <c r="AF21" s="494">
        <f t="shared" si="20"/>
        <v>887</v>
      </c>
      <c r="AG21" s="494">
        <f t="shared" si="20"/>
        <v>136</v>
      </c>
      <c r="AH21" s="494">
        <f t="shared" si="20"/>
        <v>14</v>
      </c>
      <c r="AI21" s="494">
        <f t="shared" si="20"/>
        <v>0</v>
      </c>
      <c r="AJ21" s="494">
        <f t="shared" si="20"/>
        <v>0</v>
      </c>
      <c r="AK21" s="494">
        <f t="shared" si="20"/>
        <v>737</v>
      </c>
      <c r="AL21" s="494">
        <f t="shared" si="20"/>
        <v>548</v>
      </c>
      <c r="AM21" s="494">
        <f t="shared" si="20"/>
        <v>84</v>
      </c>
      <c r="AN21" s="494">
        <f t="shared" si="20"/>
        <v>16</v>
      </c>
      <c r="AO21" s="494">
        <f t="shared" si="20"/>
        <v>0</v>
      </c>
      <c r="AP21" s="494">
        <f t="shared" si="20"/>
        <v>0</v>
      </c>
      <c r="AQ21" s="494">
        <f t="shared" si="20"/>
        <v>448</v>
      </c>
      <c r="AR21" s="494">
        <f t="shared" ref="AR21:AX21" si="21">SUM(AR22+AR30)</f>
        <v>0</v>
      </c>
      <c r="AS21" s="494">
        <f t="shared" si="21"/>
        <v>0</v>
      </c>
      <c r="AT21" s="494">
        <f t="shared" si="21"/>
        <v>0</v>
      </c>
      <c r="AU21" s="494">
        <f t="shared" si="21"/>
        <v>0</v>
      </c>
      <c r="AV21" s="494">
        <f t="shared" si="21"/>
        <v>0</v>
      </c>
      <c r="AW21" s="494">
        <f t="shared" si="21"/>
        <v>0</v>
      </c>
      <c r="AX21" s="494">
        <f t="shared" si="21"/>
        <v>0</v>
      </c>
      <c r="AY21" s="474">
        <f>'Учебный план (очная)'!CD38</f>
        <v>0</v>
      </c>
      <c r="AZ21" s="474">
        <f>'Учебный план (очная)'!CE38</f>
        <v>0</v>
      </c>
    </row>
    <row r="22" spans="1:52" s="176" customFormat="1" ht="26.1" customHeight="1" x14ac:dyDescent="0.2">
      <c r="A22" s="308" t="str">
        <f>'Учебный план (очная)'!A39</f>
        <v>ОП.00</v>
      </c>
      <c r="B22" s="308" t="str">
        <f>'Учебный план (очная)'!B39</f>
        <v>Общепрофессиональные дисциплины</v>
      </c>
      <c r="C22" s="541"/>
      <c r="D22" s="273"/>
      <c r="E22" s="273"/>
      <c r="F22" s="273"/>
      <c r="G22" s="273"/>
      <c r="H22" s="273"/>
      <c r="I22" s="273"/>
      <c r="J22" s="273"/>
      <c r="K22" s="494">
        <f>'Учебный план (очная)'!K39</f>
        <v>804</v>
      </c>
      <c r="L22" s="494">
        <f>'Учебный план (очная)'!L39</f>
        <v>536</v>
      </c>
      <c r="M22" s="274">
        <f t="shared" si="13"/>
        <v>804</v>
      </c>
      <c r="N22" s="274">
        <f t="shared" si="3"/>
        <v>148</v>
      </c>
      <c r="O22" s="274">
        <f t="shared" si="6"/>
        <v>122</v>
      </c>
      <c r="P22" s="274">
        <f t="shared" si="7"/>
        <v>26</v>
      </c>
      <c r="Q22" s="274">
        <f t="shared" si="8"/>
        <v>0</v>
      </c>
      <c r="R22" s="274">
        <f t="shared" si="9"/>
        <v>0</v>
      </c>
      <c r="S22" s="274">
        <f t="shared" si="10"/>
        <v>656</v>
      </c>
      <c r="T22" s="494">
        <f t="shared" ref="T22:Y22" si="22">SUM(T23:T29)</f>
        <v>389</v>
      </c>
      <c r="U22" s="494">
        <f t="shared" si="22"/>
        <v>56</v>
      </c>
      <c r="V22" s="494">
        <f t="shared" si="22"/>
        <v>22</v>
      </c>
      <c r="W22" s="494">
        <f t="shared" si="22"/>
        <v>0</v>
      </c>
      <c r="X22" s="494">
        <f t="shared" si="22"/>
        <v>0</v>
      </c>
      <c r="Y22" s="494">
        <f t="shared" si="22"/>
        <v>311</v>
      </c>
      <c r="Z22" s="494">
        <f t="shared" ref="Z22:AQ22" si="23">SUM(Z23:Z29)</f>
        <v>310</v>
      </c>
      <c r="AA22" s="494">
        <f t="shared" si="23"/>
        <v>54</v>
      </c>
      <c r="AB22" s="494">
        <f t="shared" si="23"/>
        <v>4</v>
      </c>
      <c r="AC22" s="494">
        <f t="shared" si="23"/>
        <v>0</v>
      </c>
      <c r="AD22" s="494">
        <f t="shared" si="23"/>
        <v>0</v>
      </c>
      <c r="AE22" s="494">
        <f t="shared" si="23"/>
        <v>252</v>
      </c>
      <c r="AF22" s="494">
        <f t="shared" si="23"/>
        <v>105</v>
      </c>
      <c r="AG22" s="494">
        <f t="shared" si="23"/>
        <v>12</v>
      </c>
      <c r="AH22" s="494">
        <f t="shared" si="23"/>
        <v>0</v>
      </c>
      <c r="AI22" s="494">
        <f t="shared" si="23"/>
        <v>0</v>
      </c>
      <c r="AJ22" s="494">
        <f t="shared" si="23"/>
        <v>0</v>
      </c>
      <c r="AK22" s="494">
        <f t="shared" si="23"/>
        <v>93</v>
      </c>
      <c r="AL22" s="494">
        <f t="shared" si="23"/>
        <v>0</v>
      </c>
      <c r="AM22" s="494">
        <f t="shared" si="23"/>
        <v>0</v>
      </c>
      <c r="AN22" s="494">
        <f t="shared" si="23"/>
        <v>0</v>
      </c>
      <c r="AO22" s="494">
        <f t="shared" si="23"/>
        <v>0</v>
      </c>
      <c r="AP22" s="494">
        <f t="shared" si="23"/>
        <v>0</v>
      </c>
      <c r="AQ22" s="494">
        <f t="shared" si="23"/>
        <v>0</v>
      </c>
      <c r="AR22" s="494">
        <f t="shared" ref="AR22:AX22" si="24">SUM(AR23:AR29)</f>
        <v>0</v>
      </c>
      <c r="AS22" s="494">
        <f t="shared" si="24"/>
        <v>0</v>
      </c>
      <c r="AT22" s="494">
        <f t="shared" si="24"/>
        <v>0</v>
      </c>
      <c r="AU22" s="494">
        <f t="shared" si="24"/>
        <v>0</v>
      </c>
      <c r="AV22" s="494">
        <f t="shared" si="24"/>
        <v>0</v>
      </c>
      <c r="AW22" s="494">
        <f t="shared" si="24"/>
        <v>0</v>
      </c>
      <c r="AX22" s="494">
        <f t="shared" si="24"/>
        <v>0</v>
      </c>
      <c r="AY22" s="474">
        <f>'Учебный план (очная)'!CD39</f>
        <v>0</v>
      </c>
      <c r="AZ22" s="474">
        <f>'Учебный план (очная)'!CE39</f>
        <v>0</v>
      </c>
    </row>
    <row r="23" spans="1:52" s="213" customFormat="1" ht="26.1" customHeight="1" x14ac:dyDescent="0.2">
      <c r="A23" s="536" t="str">
        <f>'Учебный план (очная)'!A40</f>
        <v>ОП.01</v>
      </c>
      <c r="B23" s="536" t="str">
        <f>'Учебный план (очная)'!B40</f>
        <v>Инженерная графика</v>
      </c>
      <c r="C23" s="134"/>
      <c r="D23" s="135"/>
      <c r="E23" s="135" t="s">
        <v>27</v>
      </c>
      <c r="F23" s="135"/>
      <c r="G23" s="135"/>
      <c r="H23" s="421" t="s">
        <v>27</v>
      </c>
      <c r="I23" s="139">
        <f t="shared" ref="I23:I29" si="25">K23-M23</f>
        <v>0</v>
      </c>
      <c r="J23" s="537">
        <f t="shared" ref="J23:J29" si="26">L23*$J$3</f>
        <v>17.399999999999999</v>
      </c>
      <c r="K23" s="538">
        <f>'Учебный план (очная)'!K40</f>
        <v>87</v>
      </c>
      <c r="L23" s="538">
        <f>'Учебный план (очная)'!L40</f>
        <v>58</v>
      </c>
      <c r="M23" s="138">
        <f t="shared" si="13"/>
        <v>87</v>
      </c>
      <c r="N23" s="138">
        <f t="shared" si="3"/>
        <v>16</v>
      </c>
      <c r="O23" s="138">
        <f t="shared" si="6"/>
        <v>0</v>
      </c>
      <c r="P23" s="138">
        <f t="shared" si="7"/>
        <v>16</v>
      </c>
      <c r="Q23" s="138">
        <f t="shared" si="8"/>
        <v>0</v>
      </c>
      <c r="R23" s="138">
        <f t="shared" si="9"/>
        <v>0</v>
      </c>
      <c r="S23" s="138">
        <f t="shared" si="10"/>
        <v>71</v>
      </c>
      <c r="T23" s="237">
        <f t="shared" ref="T23:T29" si="27">SUM(U23:Y23)</f>
        <v>87</v>
      </c>
      <c r="U23" s="139"/>
      <c r="V23" s="139">
        <v>16</v>
      </c>
      <c r="W23" s="139"/>
      <c r="X23" s="139"/>
      <c r="Y23" s="139">
        <v>71</v>
      </c>
      <c r="Z23" s="237">
        <f t="shared" ref="Z23:Z29" si="28">SUM(AA23:AE23)</f>
        <v>0</v>
      </c>
      <c r="AA23" s="139"/>
      <c r="AB23" s="139"/>
      <c r="AC23" s="139"/>
      <c r="AD23" s="139"/>
      <c r="AE23" s="139"/>
      <c r="AF23" s="237">
        <f t="shared" ref="AF23:AF29" si="29">SUM(AG23:AK23)</f>
        <v>0</v>
      </c>
      <c r="AG23" s="139"/>
      <c r="AH23" s="139"/>
      <c r="AI23" s="139"/>
      <c r="AJ23" s="139"/>
      <c r="AK23" s="139"/>
      <c r="AL23" s="237">
        <f t="shared" ref="AL23:AL29" si="30">SUM(AM23:AQ23)</f>
        <v>0</v>
      </c>
      <c r="AM23" s="139"/>
      <c r="AN23" s="139"/>
      <c r="AO23" s="139"/>
      <c r="AP23" s="139"/>
      <c r="AQ23" s="139"/>
      <c r="AR23" s="237">
        <f t="shared" ref="AR23:AR29" si="31">SUM(AS23:AX23)</f>
        <v>0</v>
      </c>
      <c r="AS23" s="139"/>
      <c r="AT23" s="139"/>
      <c r="AU23" s="139"/>
      <c r="AV23" s="139"/>
      <c r="AW23" s="139"/>
      <c r="AX23" s="139"/>
      <c r="AY23" s="135" t="str">
        <f>'Учебный план (очная)'!CD40</f>
        <v>64-3</v>
      </c>
      <c r="AZ23" s="135" t="str">
        <f>'Учебный план (очная)'!CE40</f>
        <v>ОК 1-10,ПК 1.1-1.5, 3.1-3.7</v>
      </c>
    </row>
    <row r="24" spans="1:52" s="213" customFormat="1" ht="26.1" customHeight="1" x14ac:dyDescent="0.2">
      <c r="A24" s="536" t="str">
        <f>'Учебный план (очная)'!A41</f>
        <v>ОП.02</v>
      </c>
      <c r="B24" s="536" t="str">
        <f>'Учебный план (очная)'!B41</f>
        <v>Механика</v>
      </c>
      <c r="C24" s="134"/>
      <c r="D24" s="135" t="s">
        <v>30</v>
      </c>
      <c r="E24" s="135"/>
      <c r="F24" s="135"/>
      <c r="G24" s="135"/>
      <c r="H24" s="421" t="s">
        <v>27</v>
      </c>
      <c r="I24" s="139">
        <f t="shared" si="25"/>
        <v>0</v>
      </c>
      <c r="J24" s="537">
        <f t="shared" si="26"/>
        <v>24</v>
      </c>
      <c r="K24" s="538">
        <f>'Учебный план (очная)'!K41</f>
        <v>120</v>
      </c>
      <c r="L24" s="538">
        <f>'Учебный план (очная)'!L41</f>
        <v>80</v>
      </c>
      <c r="M24" s="138">
        <f t="shared" si="13"/>
        <v>120</v>
      </c>
      <c r="N24" s="138">
        <f t="shared" si="3"/>
        <v>24</v>
      </c>
      <c r="O24" s="138">
        <f t="shared" si="6"/>
        <v>24</v>
      </c>
      <c r="P24" s="138">
        <f t="shared" si="7"/>
        <v>0</v>
      </c>
      <c r="Q24" s="138">
        <f t="shared" si="8"/>
        <v>0</v>
      </c>
      <c r="R24" s="138">
        <f t="shared" si="9"/>
        <v>0</v>
      </c>
      <c r="S24" s="138">
        <f t="shared" si="10"/>
        <v>96</v>
      </c>
      <c r="T24" s="237">
        <f t="shared" si="27"/>
        <v>60</v>
      </c>
      <c r="U24" s="139">
        <v>12</v>
      </c>
      <c r="V24" s="139"/>
      <c r="W24" s="139"/>
      <c r="X24" s="139"/>
      <c r="Y24" s="139">
        <v>48</v>
      </c>
      <c r="Z24" s="237">
        <f t="shared" si="28"/>
        <v>60</v>
      </c>
      <c r="AA24" s="139">
        <v>12</v>
      </c>
      <c r="AB24" s="139"/>
      <c r="AC24" s="139"/>
      <c r="AD24" s="139"/>
      <c r="AE24" s="139">
        <v>48</v>
      </c>
      <c r="AF24" s="237">
        <f t="shared" si="29"/>
        <v>0</v>
      </c>
      <c r="AG24" s="139"/>
      <c r="AH24" s="139"/>
      <c r="AI24" s="139"/>
      <c r="AJ24" s="139"/>
      <c r="AK24" s="139"/>
      <c r="AL24" s="237">
        <f t="shared" si="30"/>
        <v>0</v>
      </c>
      <c r="AM24" s="139"/>
      <c r="AN24" s="139"/>
      <c r="AO24" s="139"/>
      <c r="AP24" s="139"/>
      <c r="AQ24" s="139"/>
      <c r="AR24" s="237">
        <f t="shared" si="31"/>
        <v>0</v>
      </c>
      <c r="AS24" s="139"/>
      <c r="AT24" s="139"/>
      <c r="AU24" s="139"/>
      <c r="AV24" s="139"/>
      <c r="AW24" s="139"/>
      <c r="AX24" s="139"/>
      <c r="AY24" s="135" t="str">
        <f>'Учебный план (очная)'!CD41</f>
        <v>64-3</v>
      </c>
      <c r="AZ24" s="135" t="str">
        <f>'Учебный план (очная)'!CE41</f>
        <v>ОК 1-10,ПК 1.1-1.5, 3.1-3.7</v>
      </c>
    </row>
    <row r="25" spans="1:52" s="213" customFormat="1" ht="26.1" customHeight="1" x14ac:dyDescent="0.2">
      <c r="A25" s="536" t="str">
        <f>'Учебный план (очная)'!A42</f>
        <v>ОП.03</v>
      </c>
      <c r="B25" s="536" t="str">
        <f>'Учебный план (очная)'!B42</f>
        <v>Электроника и электротехника</v>
      </c>
      <c r="C25" s="134"/>
      <c r="D25" s="135" t="s">
        <v>30</v>
      </c>
      <c r="E25" s="135"/>
      <c r="F25" s="135"/>
      <c r="G25" s="135"/>
      <c r="H25" s="421" t="s">
        <v>27</v>
      </c>
      <c r="I25" s="139">
        <f t="shared" si="25"/>
        <v>0</v>
      </c>
      <c r="J25" s="537">
        <f t="shared" si="26"/>
        <v>47.4</v>
      </c>
      <c r="K25" s="538">
        <f>'Учебный план (очная)'!K42</f>
        <v>237</v>
      </c>
      <c r="L25" s="538">
        <f>'Учебный план (очная)'!L42</f>
        <v>158</v>
      </c>
      <c r="M25" s="138">
        <f t="shared" si="13"/>
        <v>237</v>
      </c>
      <c r="N25" s="138">
        <f t="shared" si="3"/>
        <v>46</v>
      </c>
      <c r="O25" s="138">
        <f t="shared" si="6"/>
        <v>36</v>
      </c>
      <c r="P25" s="138">
        <f t="shared" si="7"/>
        <v>10</v>
      </c>
      <c r="Q25" s="138">
        <f t="shared" si="8"/>
        <v>0</v>
      </c>
      <c r="R25" s="138">
        <f t="shared" si="9"/>
        <v>0</v>
      </c>
      <c r="S25" s="138">
        <f t="shared" si="10"/>
        <v>191</v>
      </c>
      <c r="T25" s="237">
        <f t="shared" si="27"/>
        <v>117</v>
      </c>
      <c r="U25" s="139">
        <v>18</v>
      </c>
      <c r="V25" s="139">
        <v>6</v>
      </c>
      <c r="W25" s="139"/>
      <c r="X25" s="139"/>
      <c r="Y25" s="139">
        <v>93</v>
      </c>
      <c r="Z25" s="237">
        <f t="shared" si="28"/>
        <v>120</v>
      </c>
      <c r="AA25" s="139">
        <v>18</v>
      </c>
      <c r="AB25" s="139">
        <v>4</v>
      </c>
      <c r="AC25" s="139"/>
      <c r="AD25" s="139"/>
      <c r="AE25" s="139">
        <v>98</v>
      </c>
      <c r="AF25" s="237">
        <f t="shared" si="29"/>
        <v>0</v>
      </c>
      <c r="AG25" s="139"/>
      <c r="AH25" s="139"/>
      <c r="AI25" s="139"/>
      <c r="AJ25" s="139"/>
      <c r="AK25" s="139"/>
      <c r="AL25" s="237">
        <f t="shared" si="30"/>
        <v>0</v>
      </c>
      <c r="AM25" s="139"/>
      <c r="AN25" s="139"/>
      <c r="AO25" s="139"/>
      <c r="AP25" s="139"/>
      <c r="AQ25" s="139"/>
      <c r="AR25" s="237">
        <f t="shared" si="31"/>
        <v>0</v>
      </c>
      <c r="AS25" s="139"/>
      <c r="AT25" s="139"/>
      <c r="AU25" s="139"/>
      <c r="AV25" s="139"/>
      <c r="AW25" s="139"/>
      <c r="AX25" s="139"/>
      <c r="AY25" s="135" t="str">
        <f>'Учебный план (очная)'!CD42</f>
        <v>64-6</v>
      </c>
      <c r="AZ25" s="135" t="str">
        <f>'Учебный план (очная)'!CE42</f>
        <v>ОК 1-10,ПК 1.1-1.5, 3.1-3.7</v>
      </c>
    </row>
    <row r="26" spans="1:52" s="213" customFormat="1" ht="26.1" customHeight="1" x14ac:dyDescent="0.2">
      <c r="A26" s="536" t="str">
        <f>'Учебный план (очная)'!A43</f>
        <v>ОП.04</v>
      </c>
      <c r="B26" s="536" t="str">
        <f>'Учебный план (очная)'!B43</f>
        <v>Материаловедение</v>
      </c>
      <c r="C26" s="134"/>
      <c r="D26" s="135"/>
      <c r="E26" s="135" t="s">
        <v>30</v>
      </c>
      <c r="F26" s="135"/>
      <c r="G26" s="135"/>
      <c r="H26" s="135"/>
      <c r="I26" s="139">
        <f t="shared" si="25"/>
        <v>0</v>
      </c>
      <c r="J26" s="537">
        <f t="shared" si="26"/>
        <v>14.4</v>
      </c>
      <c r="K26" s="538">
        <f>'Учебный план (очная)'!K43</f>
        <v>72</v>
      </c>
      <c r="L26" s="538">
        <f>'Учебный план (очная)'!L43</f>
        <v>48</v>
      </c>
      <c r="M26" s="138">
        <f t="shared" si="13"/>
        <v>72</v>
      </c>
      <c r="N26" s="138">
        <f t="shared" si="3"/>
        <v>14</v>
      </c>
      <c r="O26" s="138">
        <f t="shared" si="6"/>
        <v>14</v>
      </c>
      <c r="P26" s="138">
        <f t="shared" si="7"/>
        <v>0</v>
      </c>
      <c r="Q26" s="138">
        <f t="shared" si="8"/>
        <v>0</v>
      </c>
      <c r="R26" s="138">
        <f t="shared" si="9"/>
        <v>0</v>
      </c>
      <c r="S26" s="138">
        <f t="shared" si="10"/>
        <v>58</v>
      </c>
      <c r="T26" s="237">
        <f t="shared" si="27"/>
        <v>0</v>
      </c>
      <c r="U26" s="139"/>
      <c r="V26" s="139"/>
      <c r="W26" s="139"/>
      <c r="X26" s="139"/>
      <c r="Y26" s="139"/>
      <c r="Z26" s="237">
        <f t="shared" si="28"/>
        <v>72</v>
      </c>
      <c r="AA26" s="139">
        <v>14</v>
      </c>
      <c r="AB26" s="139"/>
      <c r="AC26" s="139"/>
      <c r="AD26" s="139"/>
      <c r="AE26" s="139">
        <v>58</v>
      </c>
      <c r="AF26" s="237">
        <f t="shared" si="29"/>
        <v>0</v>
      </c>
      <c r="AG26" s="139"/>
      <c r="AH26" s="139"/>
      <c r="AI26" s="139"/>
      <c r="AJ26" s="139"/>
      <c r="AK26" s="139"/>
      <c r="AL26" s="237">
        <f t="shared" si="30"/>
        <v>0</v>
      </c>
      <c r="AM26" s="139"/>
      <c r="AN26" s="139"/>
      <c r="AO26" s="139"/>
      <c r="AP26" s="139"/>
      <c r="AQ26" s="139"/>
      <c r="AR26" s="237">
        <f t="shared" si="31"/>
        <v>0</v>
      </c>
      <c r="AS26" s="139"/>
      <c r="AT26" s="139"/>
      <c r="AU26" s="139"/>
      <c r="AV26" s="139"/>
      <c r="AW26" s="139"/>
      <c r="AX26" s="139"/>
      <c r="AY26" s="135" t="str">
        <f>'Учебный план (очная)'!CD43</f>
        <v>64-6</v>
      </c>
      <c r="AZ26" s="135" t="str">
        <f>'Учебный план (очная)'!CE43</f>
        <v>ОК 1-10,ПК 1.1-1.5, 3.1-3.7</v>
      </c>
    </row>
    <row r="27" spans="1:52" s="213" customFormat="1" ht="26.1" customHeight="1" x14ac:dyDescent="0.2">
      <c r="A27" s="536" t="str">
        <f>'Учебный план (очная)'!A44</f>
        <v>ОП.05</v>
      </c>
      <c r="B27" s="536" t="str">
        <f>'Учебный план (очная)'!B44</f>
        <v>Метрология и стандартизация</v>
      </c>
      <c r="C27" s="134"/>
      <c r="D27" s="135"/>
      <c r="E27" s="135" t="s">
        <v>27</v>
      </c>
      <c r="F27" s="135"/>
      <c r="G27" s="135"/>
      <c r="H27" s="135"/>
      <c r="I27" s="139">
        <f t="shared" si="25"/>
        <v>0</v>
      </c>
      <c r="J27" s="537">
        <f t="shared" si="26"/>
        <v>12.6</v>
      </c>
      <c r="K27" s="538">
        <f>'Учебный план (очная)'!K44</f>
        <v>63</v>
      </c>
      <c r="L27" s="538">
        <f>'Учебный план (очная)'!L44</f>
        <v>42</v>
      </c>
      <c r="M27" s="138">
        <f t="shared" si="13"/>
        <v>63</v>
      </c>
      <c r="N27" s="138">
        <f t="shared" si="3"/>
        <v>12</v>
      </c>
      <c r="O27" s="138">
        <f t="shared" si="6"/>
        <v>12</v>
      </c>
      <c r="P27" s="138">
        <f t="shared" si="7"/>
        <v>0</v>
      </c>
      <c r="Q27" s="138">
        <f t="shared" si="8"/>
        <v>0</v>
      </c>
      <c r="R27" s="138">
        <f t="shared" si="9"/>
        <v>0</v>
      </c>
      <c r="S27" s="138">
        <f t="shared" si="10"/>
        <v>51</v>
      </c>
      <c r="T27" s="237">
        <f t="shared" si="27"/>
        <v>63</v>
      </c>
      <c r="U27" s="139">
        <v>12</v>
      </c>
      <c r="V27" s="139"/>
      <c r="W27" s="139"/>
      <c r="X27" s="139"/>
      <c r="Y27" s="139">
        <v>51</v>
      </c>
      <c r="Z27" s="237">
        <f t="shared" si="28"/>
        <v>0</v>
      </c>
      <c r="AA27" s="139"/>
      <c r="AB27" s="139"/>
      <c r="AC27" s="139"/>
      <c r="AD27" s="139"/>
      <c r="AE27" s="139"/>
      <c r="AF27" s="237">
        <f t="shared" si="29"/>
        <v>0</v>
      </c>
      <c r="AG27" s="139"/>
      <c r="AH27" s="139"/>
      <c r="AI27" s="139"/>
      <c r="AJ27" s="139"/>
      <c r="AK27" s="139"/>
      <c r="AL27" s="237">
        <f t="shared" si="30"/>
        <v>0</v>
      </c>
      <c r="AM27" s="139"/>
      <c r="AN27" s="139"/>
      <c r="AO27" s="139"/>
      <c r="AP27" s="139"/>
      <c r="AQ27" s="139"/>
      <c r="AR27" s="237">
        <f t="shared" si="31"/>
        <v>0</v>
      </c>
      <c r="AS27" s="139"/>
      <c r="AT27" s="139"/>
      <c r="AU27" s="139"/>
      <c r="AV27" s="139"/>
      <c r="AW27" s="139"/>
      <c r="AX27" s="139"/>
      <c r="AY27" s="135" t="str">
        <f>'Учебный план (очная)'!CD44</f>
        <v>64-3</v>
      </c>
      <c r="AZ27" s="135" t="str">
        <f>'Учебный план (очная)'!CE44</f>
        <v>ОК 1-10,ПК 1.1-1.5, 3.1-3.7</v>
      </c>
    </row>
    <row r="28" spans="1:52" s="213" customFormat="1" ht="26.1" customHeight="1" x14ac:dyDescent="0.2">
      <c r="A28" s="536" t="str">
        <f>'Учебный план (очная)'!A45</f>
        <v>ОП.06</v>
      </c>
      <c r="B28" s="536" t="str">
        <f>'Учебный план (очная)'!B45</f>
        <v>Теория и устройство судна</v>
      </c>
      <c r="C28" s="134"/>
      <c r="D28" s="421" t="s">
        <v>30</v>
      </c>
      <c r="E28" s="135"/>
      <c r="F28" s="135"/>
      <c r="G28" s="135"/>
      <c r="H28" s="421" t="s">
        <v>27</v>
      </c>
      <c r="I28" s="139">
        <f t="shared" si="25"/>
        <v>0</v>
      </c>
      <c r="J28" s="537">
        <f t="shared" si="26"/>
        <v>24</v>
      </c>
      <c r="K28" s="538">
        <f>'Учебный план (очная)'!K45</f>
        <v>120</v>
      </c>
      <c r="L28" s="538">
        <f>'Учебный план (очная)'!L45</f>
        <v>80</v>
      </c>
      <c r="M28" s="138">
        <f t="shared" si="13"/>
        <v>120</v>
      </c>
      <c r="N28" s="138">
        <f t="shared" si="3"/>
        <v>24</v>
      </c>
      <c r="O28" s="138">
        <f t="shared" si="6"/>
        <v>24</v>
      </c>
      <c r="P28" s="138">
        <f t="shared" si="7"/>
        <v>0</v>
      </c>
      <c r="Q28" s="138">
        <f t="shared" si="8"/>
        <v>0</v>
      </c>
      <c r="R28" s="138">
        <f t="shared" si="9"/>
        <v>0</v>
      </c>
      <c r="S28" s="138">
        <f t="shared" si="10"/>
        <v>96</v>
      </c>
      <c r="T28" s="237">
        <f t="shared" si="27"/>
        <v>62</v>
      </c>
      <c r="U28" s="139">
        <v>14</v>
      </c>
      <c r="V28" s="139"/>
      <c r="W28" s="139"/>
      <c r="X28" s="139"/>
      <c r="Y28" s="139">
        <v>48</v>
      </c>
      <c r="Z28" s="237">
        <f t="shared" si="28"/>
        <v>58</v>
      </c>
      <c r="AA28" s="139">
        <v>10</v>
      </c>
      <c r="AB28" s="139"/>
      <c r="AC28" s="139"/>
      <c r="AD28" s="139"/>
      <c r="AE28" s="139">
        <v>48</v>
      </c>
      <c r="AF28" s="237">
        <f t="shared" si="29"/>
        <v>0</v>
      </c>
      <c r="AG28" s="139"/>
      <c r="AH28" s="139"/>
      <c r="AI28" s="139"/>
      <c r="AJ28" s="139"/>
      <c r="AK28" s="139"/>
      <c r="AL28" s="237">
        <f t="shared" si="30"/>
        <v>0</v>
      </c>
      <c r="AM28" s="139"/>
      <c r="AN28" s="139"/>
      <c r="AO28" s="139"/>
      <c r="AP28" s="139"/>
      <c r="AQ28" s="139"/>
      <c r="AR28" s="237">
        <f t="shared" si="31"/>
        <v>0</v>
      </c>
      <c r="AS28" s="139"/>
      <c r="AT28" s="139"/>
      <c r="AU28" s="139"/>
      <c r="AV28" s="139"/>
      <c r="AW28" s="139"/>
      <c r="AX28" s="139"/>
      <c r="AY28" s="135" t="str">
        <f>'Учебный план (очная)'!CD45</f>
        <v>64-4</v>
      </c>
      <c r="AZ28" s="135" t="str">
        <f>'Учебный план (очная)'!CE45</f>
        <v>ОК 1-10,ПК 1.1-1.5, 2.1-2.3, 3.1-3.7</v>
      </c>
    </row>
    <row r="29" spans="1:52" s="213" customFormat="1" ht="26.1" customHeight="1" x14ac:dyDescent="0.2">
      <c r="A29" s="536" t="str">
        <f>'Учебный план (очная)'!A46</f>
        <v>ОП.07</v>
      </c>
      <c r="B29" s="536" t="str">
        <f>'Учебный план (очная)'!B46</f>
        <v>Безопасность жизнедеятельности</v>
      </c>
      <c r="C29" s="134"/>
      <c r="D29" s="135"/>
      <c r="E29" s="135" t="s">
        <v>29</v>
      </c>
      <c r="F29" s="135"/>
      <c r="G29" s="135"/>
      <c r="H29" s="579" t="s">
        <v>29</v>
      </c>
      <c r="I29" s="139">
        <f t="shared" si="25"/>
        <v>0</v>
      </c>
      <c r="J29" s="537">
        <f t="shared" si="26"/>
        <v>21</v>
      </c>
      <c r="K29" s="538">
        <f>'Учебный план (очная)'!K46</f>
        <v>105</v>
      </c>
      <c r="L29" s="538">
        <f>'Учебный план (очная)'!L46</f>
        <v>70</v>
      </c>
      <c r="M29" s="138">
        <f t="shared" si="13"/>
        <v>105</v>
      </c>
      <c r="N29" s="138">
        <f t="shared" si="3"/>
        <v>12</v>
      </c>
      <c r="O29" s="138">
        <f t="shared" si="6"/>
        <v>12</v>
      </c>
      <c r="P29" s="138">
        <f t="shared" si="7"/>
        <v>0</v>
      </c>
      <c r="Q29" s="138">
        <f t="shared" si="8"/>
        <v>0</v>
      </c>
      <c r="R29" s="138">
        <f t="shared" si="9"/>
        <v>0</v>
      </c>
      <c r="S29" s="138">
        <f t="shared" si="10"/>
        <v>93</v>
      </c>
      <c r="T29" s="237">
        <f t="shared" si="27"/>
        <v>0</v>
      </c>
      <c r="U29" s="139"/>
      <c r="V29" s="139"/>
      <c r="W29" s="139"/>
      <c r="X29" s="139"/>
      <c r="Y29" s="139"/>
      <c r="Z29" s="237">
        <f t="shared" si="28"/>
        <v>0</v>
      </c>
      <c r="AA29" s="139"/>
      <c r="AB29" s="139"/>
      <c r="AC29" s="139"/>
      <c r="AD29" s="139"/>
      <c r="AE29" s="139"/>
      <c r="AF29" s="237">
        <f t="shared" si="29"/>
        <v>105</v>
      </c>
      <c r="AG29" s="139">
        <v>12</v>
      </c>
      <c r="AH29" s="139"/>
      <c r="AI29" s="139"/>
      <c r="AJ29" s="139"/>
      <c r="AK29" s="139">
        <v>93</v>
      </c>
      <c r="AL29" s="237">
        <f t="shared" si="30"/>
        <v>0</v>
      </c>
      <c r="AM29" s="139"/>
      <c r="AN29" s="139"/>
      <c r="AO29" s="139"/>
      <c r="AP29" s="139"/>
      <c r="AQ29" s="139"/>
      <c r="AR29" s="237">
        <f t="shared" si="31"/>
        <v>0</v>
      </c>
      <c r="AS29" s="139"/>
      <c r="AT29" s="139"/>
      <c r="AU29" s="139"/>
      <c r="AV29" s="139"/>
      <c r="AW29" s="139"/>
      <c r="AX29" s="139"/>
      <c r="AY29" s="135" t="str">
        <f>'Учебный план (очная)'!CD46</f>
        <v>64-2</v>
      </c>
      <c r="AZ29" s="135" t="str">
        <f>'Учебный план (очная)'!CE46</f>
        <v>ОК 1-10, ПК 1.1-1.5,  2.1-2.3,   3.1-3.7</v>
      </c>
    </row>
    <row r="30" spans="1:52" s="176" customFormat="1" ht="26.1" customHeight="1" x14ac:dyDescent="0.2">
      <c r="A30" s="308" t="str">
        <f>'Учебный план (очная)'!A47</f>
        <v>ПМ.00</v>
      </c>
      <c r="B30" s="759" t="str">
        <f>'Учебный план (очная)'!B47</f>
        <v>Профессиональные модули</v>
      </c>
      <c r="C30" s="760"/>
      <c r="D30" s="760"/>
      <c r="E30" s="760"/>
      <c r="F30" s="760"/>
      <c r="G30" s="760"/>
      <c r="H30" s="761"/>
      <c r="I30" s="273"/>
      <c r="J30" s="273"/>
      <c r="K30" s="494">
        <f>'Учебный план (очная)'!K47</f>
        <v>1576</v>
      </c>
      <c r="L30" s="494">
        <f>'Учебный план (очная)'!L47</f>
        <v>1051</v>
      </c>
      <c r="M30" s="274">
        <f t="shared" si="13"/>
        <v>1576</v>
      </c>
      <c r="N30" s="274">
        <f t="shared" si="3"/>
        <v>290</v>
      </c>
      <c r="O30" s="274">
        <f t="shared" si="6"/>
        <v>232</v>
      </c>
      <c r="P30" s="274">
        <f t="shared" si="7"/>
        <v>58</v>
      </c>
      <c r="Q30" s="274">
        <f t="shared" si="8"/>
        <v>0</v>
      </c>
      <c r="R30" s="274">
        <f t="shared" si="9"/>
        <v>0</v>
      </c>
      <c r="S30" s="274">
        <f t="shared" si="10"/>
        <v>1286</v>
      </c>
      <c r="T30" s="494">
        <f t="shared" ref="T30:AX30" si="32">SUM(T31+T44+T49+T53)</f>
        <v>50</v>
      </c>
      <c r="U30" s="494">
        <f t="shared" si="32"/>
        <v>0</v>
      </c>
      <c r="V30" s="494">
        <f t="shared" si="32"/>
        <v>12</v>
      </c>
      <c r="W30" s="494">
        <f t="shared" si="32"/>
        <v>0</v>
      </c>
      <c r="X30" s="494">
        <f t="shared" si="32"/>
        <v>0</v>
      </c>
      <c r="Y30" s="494">
        <f t="shared" si="32"/>
        <v>38</v>
      </c>
      <c r="Z30" s="494">
        <f t="shared" si="32"/>
        <v>196</v>
      </c>
      <c r="AA30" s="494">
        <f t="shared" si="32"/>
        <v>24</v>
      </c>
      <c r="AB30" s="494">
        <f t="shared" si="32"/>
        <v>16</v>
      </c>
      <c r="AC30" s="494">
        <f t="shared" si="32"/>
        <v>0</v>
      </c>
      <c r="AD30" s="494">
        <f t="shared" si="32"/>
        <v>0</v>
      </c>
      <c r="AE30" s="494">
        <f t="shared" si="32"/>
        <v>156</v>
      </c>
      <c r="AF30" s="494">
        <f t="shared" si="32"/>
        <v>782</v>
      </c>
      <c r="AG30" s="494">
        <f t="shared" si="32"/>
        <v>124</v>
      </c>
      <c r="AH30" s="494">
        <f t="shared" si="32"/>
        <v>14</v>
      </c>
      <c r="AI30" s="494">
        <f t="shared" si="32"/>
        <v>0</v>
      </c>
      <c r="AJ30" s="494">
        <f t="shared" si="32"/>
        <v>0</v>
      </c>
      <c r="AK30" s="494">
        <f t="shared" si="32"/>
        <v>644</v>
      </c>
      <c r="AL30" s="494">
        <f t="shared" si="32"/>
        <v>548</v>
      </c>
      <c r="AM30" s="494">
        <f t="shared" si="32"/>
        <v>84</v>
      </c>
      <c r="AN30" s="494">
        <f t="shared" si="32"/>
        <v>16</v>
      </c>
      <c r="AO30" s="494">
        <f t="shared" si="32"/>
        <v>0</v>
      </c>
      <c r="AP30" s="494">
        <f t="shared" si="32"/>
        <v>0</v>
      </c>
      <c r="AQ30" s="494">
        <f t="shared" si="32"/>
        <v>448</v>
      </c>
      <c r="AR30" s="494">
        <f t="shared" si="32"/>
        <v>0</v>
      </c>
      <c r="AS30" s="494">
        <f t="shared" si="32"/>
        <v>0</v>
      </c>
      <c r="AT30" s="494">
        <f t="shared" si="32"/>
        <v>0</v>
      </c>
      <c r="AU30" s="494">
        <f t="shared" si="32"/>
        <v>0</v>
      </c>
      <c r="AV30" s="494">
        <f t="shared" si="32"/>
        <v>0</v>
      </c>
      <c r="AW30" s="494">
        <f t="shared" si="32"/>
        <v>0</v>
      </c>
      <c r="AX30" s="494">
        <f t="shared" si="32"/>
        <v>0</v>
      </c>
      <c r="AY30" s="474">
        <f>'Учебный план (очная)'!CD47</f>
        <v>0</v>
      </c>
      <c r="AZ30" s="474">
        <f>'Учебный план (очная)'!CE47</f>
        <v>0</v>
      </c>
    </row>
    <row r="31" spans="1:52" s="213" customFormat="1" ht="26.1" customHeight="1" x14ac:dyDescent="0.2">
      <c r="A31" s="565" t="str">
        <f>'Учебный план (очная)'!A48</f>
        <v xml:space="preserve">ПМ.01             </v>
      </c>
      <c r="B31" s="762" t="str">
        <f>'Учебный план (очная)'!B48:H48</f>
        <v>Техническая эксплуатация судового электрооборудования и средств автоматики</v>
      </c>
      <c r="C31" s="763"/>
      <c r="D31" s="763"/>
      <c r="E31" s="763"/>
      <c r="F31" s="763"/>
      <c r="G31" s="763"/>
      <c r="H31" s="764"/>
      <c r="I31" s="504"/>
      <c r="J31" s="504"/>
      <c r="K31" s="482">
        <f>'Учебный план (очная)'!K48</f>
        <v>1084</v>
      </c>
      <c r="L31" s="482">
        <f>'Учебный план (очная)'!L48</f>
        <v>720</v>
      </c>
      <c r="M31" s="482">
        <f t="shared" si="13"/>
        <v>1084</v>
      </c>
      <c r="N31" s="482">
        <f t="shared" si="3"/>
        <v>206</v>
      </c>
      <c r="O31" s="482">
        <f t="shared" si="6"/>
        <v>192</v>
      </c>
      <c r="P31" s="482">
        <f t="shared" si="7"/>
        <v>14</v>
      </c>
      <c r="Q31" s="482">
        <f t="shared" si="8"/>
        <v>0</v>
      </c>
      <c r="R31" s="482">
        <f t="shared" si="9"/>
        <v>0</v>
      </c>
      <c r="S31" s="482">
        <f t="shared" si="10"/>
        <v>878</v>
      </c>
      <c r="T31" s="503">
        <f t="shared" ref="T31:AX31" si="33">SUM(T33:T42)</f>
        <v>0</v>
      </c>
      <c r="U31" s="503">
        <f t="shared" si="33"/>
        <v>0</v>
      </c>
      <c r="V31" s="503">
        <f t="shared" si="33"/>
        <v>0</v>
      </c>
      <c r="W31" s="503">
        <f t="shared" si="33"/>
        <v>0</v>
      </c>
      <c r="X31" s="503">
        <f t="shared" si="33"/>
        <v>0</v>
      </c>
      <c r="Y31" s="503">
        <f t="shared" si="33"/>
        <v>0</v>
      </c>
      <c r="Z31" s="503">
        <f t="shared" si="33"/>
        <v>51</v>
      </c>
      <c r="AA31" s="503">
        <f t="shared" si="33"/>
        <v>10</v>
      </c>
      <c r="AB31" s="503">
        <f t="shared" si="33"/>
        <v>0</v>
      </c>
      <c r="AC31" s="503">
        <f t="shared" si="33"/>
        <v>0</v>
      </c>
      <c r="AD31" s="503">
        <f t="shared" si="33"/>
        <v>0</v>
      </c>
      <c r="AE31" s="503">
        <f t="shared" si="33"/>
        <v>41</v>
      </c>
      <c r="AF31" s="503">
        <f t="shared" si="33"/>
        <v>659</v>
      </c>
      <c r="AG31" s="503">
        <f t="shared" si="33"/>
        <v>98</v>
      </c>
      <c r="AH31" s="503">
        <f t="shared" si="33"/>
        <v>14</v>
      </c>
      <c r="AI31" s="503">
        <f t="shared" si="33"/>
        <v>0</v>
      </c>
      <c r="AJ31" s="503">
        <f t="shared" si="33"/>
        <v>0</v>
      </c>
      <c r="AK31" s="503">
        <f t="shared" si="33"/>
        <v>547</v>
      </c>
      <c r="AL31" s="503">
        <f t="shared" si="33"/>
        <v>374</v>
      </c>
      <c r="AM31" s="503">
        <f t="shared" si="33"/>
        <v>84</v>
      </c>
      <c r="AN31" s="503">
        <f t="shared" si="33"/>
        <v>0</v>
      </c>
      <c r="AO31" s="503">
        <f t="shared" si="33"/>
        <v>0</v>
      </c>
      <c r="AP31" s="503">
        <f t="shared" si="33"/>
        <v>0</v>
      </c>
      <c r="AQ31" s="503">
        <f t="shared" si="33"/>
        <v>290</v>
      </c>
      <c r="AR31" s="503">
        <f t="shared" si="33"/>
        <v>0</v>
      </c>
      <c r="AS31" s="503">
        <f t="shared" si="33"/>
        <v>0</v>
      </c>
      <c r="AT31" s="503">
        <f t="shared" si="33"/>
        <v>0</v>
      </c>
      <c r="AU31" s="503">
        <f t="shared" si="33"/>
        <v>0</v>
      </c>
      <c r="AV31" s="503">
        <f t="shared" si="33"/>
        <v>0</v>
      </c>
      <c r="AW31" s="503">
        <f t="shared" si="33"/>
        <v>0</v>
      </c>
      <c r="AX31" s="503">
        <f t="shared" si="33"/>
        <v>0</v>
      </c>
      <c r="AY31" s="505">
        <f>'Учебный план (очная)'!CD48</f>
        <v>0</v>
      </c>
      <c r="AZ31" s="505" t="str">
        <f>'Учебный план (очная)'!CE48</f>
        <v>ОК 1-10; ПК 1.1-1.5</v>
      </c>
    </row>
    <row r="32" spans="1:52" s="213" customFormat="1" ht="26.1" customHeight="1" x14ac:dyDescent="0.2">
      <c r="A32" s="563" t="str">
        <f>'Учебный план (очная)'!A49</f>
        <v xml:space="preserve">МДК.01.01  </v>
      </c>
      <c r="B32" s="768" t="str">
        <f>'Учебный план (очная)'!B49</f>
        <v>Эксплуатация и ремонт судовых электрических машин, электроэнергетических систем и электроприводов, электрических систем автоматики и контроля</v>
      </c>
      <c r="C32" s="769"/>
      <c r="D32" s="769"/>
      <c r="E32" s="769"/>
      <c r="F32" s="769"/>
      <c r="G32" s="769"/>
      <c r="H32" s="770"/>
      <c r="I32" s="508"/>
      <c r="J32" s="508"/>
      <c r="K32" s="483"/>
      <c r="L32" s="483"/>
      <c r="M32" s="483"/>
      <c r="N32" s="483"/>
      <c r="O32" s="483"/>
      <c r="P32" s="483"/>
      <c r="Q32" s="483"/>
      <c r="R32" s="483"/>
      <c r="S32" s="483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507"/>
      <c r="AV32" s="507"/>
      <c r="AW32" s="507"/>
      <c r="AX32" s="507"/>
      <c r="AY32" s="509"/>
      <c r="AZ32" s="509"/>
    </row>
    <row r="33" spans="1:52" s="177" customFormat="1" ht="26.1" customHeight="1" x14ac:dyDescent="0.2">
      <c r="A33" s="542">
        <f>'Учебный план (очная)'!A50</f>
        <v>0</v>
      </c>
      <c r="B33" s="542" t="str">
        <f>'Учебный план (очная)'!B50</f>
        <v>Технология технического обслуживания и ремонта судового электрооборудования</v>
      </c>
      <c r="C33" s="134"/>
      <c r="D33" s="135"/>
      <c r="E33" s="135" t="s">
        <v>39</v>
      </c>
      <c r="F33" s="135"/>
      <c r="G33" s="135"/>
      <c r="H33" s="421" t="s">
        <v>42</v>
      </c>
      <c r="I33" s="139">
        <f t="shared" ref="I33:I42" si="34">K33-M33</f>
        <v>0</v>
      </c>
      <c r="J33" s="537">
        <f t="shared" ref="J33:J42" si="35">L33*$J$3</f>
        <v>22.8</v>
      </c>
      <c r="K33" s="538">
        <f>'Учебный план (очная)'!K50</f>
        <v>112</v>
      </c>
      <c r="L33" s="538">
        <f>'Учебный план (очная)'!L50</f>
        <v>76</v>
      </c>
      <c r="M33" s="138">
        <f t="shared" si="13"/>
        <v>112</v>
      </c>
      <c r="N33" s="138">
        <f t="shared" si="3"/>
        <v>18</v>
      </c>
      <c r="O33" s="138">
        <f t="shared" ref="O33:O44" si="36">U33+AA33+AG33+AM33+AS33</f>
        <v>18</v>
      </c>
      <c r="P33" s="138">
        <f t="shared" ref="P33:P44" si="37">V33+AB33+AH33+AN33+AT33</f>
        <v>0</v>
      </c>
      <c r="Q33" s="138">
        <f t="shared" ref="Q33:Q44" si="38">W33+AC33+AI33+AO33+AU33</f>
        <v>0</v>
      </c>
      <c r="R33" s="138">
        <f t="shared" ref="R33:R44" si="39">X33+AD33+AJ33+AP33+AV33</f>
        <v>0</v>
      </c>
      <c r="S33" s="138">
        <f t="shared" ref="S33:S44" si="40">Y33+AE33+AK33+AQ33+AX33</f>
        <v>94</v>
      </c>
      <c r="T33" s="237">
        <f t="shared" ref="T33:T42" si="41">SUM(U33:Y33)</f>
        <v>0</v>
      </c>
      <c r="U33" s="139"/>
      <c r="V33" s="139"/>
      <c r="W33" s="139"/>
      <c r="X33" s="139"/>
      <c r="Y33" s="139"/>
      <c r="Z33" s="237">
        <f t="shared" ref="Z33:Z42" si="42">SUM(AA33:AE33)</f>
        <v>0</v>
      </c>
      <c r="AA33" s="139"/>
      <c r="AB33" s="139"/>
      <c r="AC33" s="139"/>
      <c r="AD33" s="139"/>
      <c r="AE33" s="139"/>
      <c r="AF33" s="237">
        <f t="shared" ref="AF33:AF42" si="43">SUM(AG33:AK33)</f>
        <v>0</v>
      </c>
      <c r="AG33" s="139"/>
      <c r="AH33" s="139"/>
      <c r="AI33" s="139"/>
      <c r="AJ33" s="139"/>
      <c r="AK33" s="139"/>
      <c r="AL33" s="237">
        <f t="shared" ref="AL33:AL42" si="44">SUM(AM33:AQ33)</f>
        <v>112</v>
      </c>
      <c r="AM33" s="139">
        <v>18</v>
      </c>
      <c r="AN33" s="139"/>
      <c r="AO33" s="139"/>
      <c r="AP33" s="139"/>
      <c r="AQ33" s="139">
        <v>94</v>
      </c>
      <c r="AR33" s="237">
        <f t="shared" ref="AR33:AR40" si="45">SUM(AS33:AX33)</f>
        <v>0</v>
      </c>
      <c r="AS33" s="139"/>
      <c r="AT33" s="139"/>
      <c r="AU33" s="139"/>
      <c r="AV33" s="139"/>
      <c r="AW33" s="139"/>
      <c r="AX33" s="139"/>
      <c r="AY33" s="135" t="str">
        <f>'Учебный план (очная)'!CD50</f>
        <v>64-6</v>
      </c>
      <c r="AZ33" s="135" t="str">
        <f>'Учебный план (очная)'!CE50</f>
        <v>ОК 1-10; ПК 1.1-1.5</v>
      </c>
    </row>
    <row r="34" spans="1:52" s="177" customFormat="1" ht="26.1" customHeight="1" x14ac:dyDescent="0.2">
      <c r="A34" s="542">
        <f>'Учебный план (очная)'!A51</f>
        <v>0</v>
      </c>
      <c r="B34" s="542" t="str">
        <f>'Учебный план (очная)'!B51</f>
        <v>Судовые электрические машины</v>
      </c>
      <c r="C34" s="134"/>
      <c r="D34" s="135" t="s">
        <v>29</v>
      </c>
      <c r="E34" s="135"/>
      <c r="F34" s="135"/>
      <c r="G34" s="135"/>
      <c r="H34" s="135"/>
      <c r="I34" s="139">
        <f t="shared" si="34"/>
        <v>0</v>
      </c>
      <c r="J34" s="537">
        <f t="shared" si="35"/>
        <v>19.2</v>
      </c>
      <c r="K34" s="538">
        <f>'Учебный план (очная)'!K51</f>
        <v>96</v>
      </c>
      <c r="L34" s="538">
        <f>'Учебный план (очная)'!L51</f>
        <v>64</v>
      </c>
      <c r="M34" s="138">
        <f t="shared" si="13"/>
        <v>96</v>
      </c>
      <c r="N34" s="138">
        <f t="shared" si="3"/>
        <v>20</v>
      </c>
      <c r="O34" s="138">
        <f t="shared" si="36"/>
        <v>16</v>
      </c>
      <c r="P34" s="138">
        <f t="shared" si="37"/>
        <v>4</v>
      </c>
      <c r="Q34" s="138">
        <f t="shared" si="38"/>
        <v>0</v>
      </c>
      <c r="R34" s="138">
        <f t="shared" si="39"/>
        <v>0</v>
      </c>
      <c r="S34" s="138">
        <f t="shared" si="40"/>
        <v>76</v>
      </c>
      <c r="T34" s="237">
        <f t="shared" si="41"/>
        <v>0</v>
      </c>
      <c r="U34" s="139"/>
      <c r="V34" s="139"/>
      <c r="W34" s="139"/>
      <c r="X34" s="139"/>
      <c r="Y34" s="139"/>
      <c r="Z34" s="237">
        <f t="shared" si="42"/>
        <v>0</v>
      </c>
      <c r="AA34" s="139"/>
      <c r="AB34" s="139"/>
      <c r="AC34" s="139"/>
      <c r="AD34" s="139"/>
      <c r="AE34" s="139"/>
      <c r="AF34" s="237">
        <f t="shared" si="43"/>
        <v>96</v>
      </c>
      <c r="AG34" s="139">
        <v>16</v>
      </c>
      <c r="AH34" s="139">
        <v>4</v>
      </c>
      <c r="AI34" s="139"/>
      <c r="AJ34" s="139"/>
      <c r="AK34" s="139">
        <v>76</v>
      </c>
      <c r="AL34" s="237">
        <f t="shared" si="44"/>
        <v>0</v>
      </c>
      <c r="AM34" s="139"/>
      <c r="AN34" s="139"/>
      <c r="AO34" s="139"/>
      <c r="AP34" s="139"/>
      <c r="AQ34" s="139"/>
      <c r="AR34" s="237">
        <f t="shared" si="45"/>
        <v>0</v>
      </c>
      <c r="AS34" s="139"/>
      <c r="AT34" s="139"/>
      <c r="AU34" s="139"/>
      <c r="AV34" s="139"/>
      <c r="AW34" s="139"/>
      <c r="AX34" s="139"/>
      <c r="AY34" s="135" t="str">
        <f>'Учебный план (очная)'!CD51</f>
        <v>64-6</v>
      </c>
      <c r="AZ34" s="135" t="str">
        <f>'Учебный план (очная)'!CE51</f>
        <v>ОК 1-10; ПК 1.1-1.5</v>
      </c>
    </row>
    <row r="35" spans="1:52" s="177" customFormat="1" ht="26.1" customHeight="1" x14ac:dyDescent="0.2">
      <c r="A35" s="542">
        <f>'Учебный план (очная)'!A52</f>
        <v>0</v>
      </c>
      <c r="B35" s="542" t="str">
        <f>'Учебный план (очная)'!B52</f>
        <v>Электрические системы автоматики и контроля судовых технических средств</v>
      </c>
      <c r="C35" s="134"/>
      <c r="D35" s="135"/>
      <c r="E35" s="135" t="s">
        <v>39</v>
      </c>
      <c r="F35" s="135"/>
      <c r="G35" s="135"/>
      <c r="H35" s="421" t="s">
        <v>29</v>
      </c>
      <c r="I35" s="139">
        <f t="shared" si="34"/>
        <v>0</v>
      </c>
      <c r="J35" s="537">
        <f t="shared" si="35"/>
        <v>28.5</v>
      </c>
      <c r="K35" s="538">
        <f>'Учебный план (очная)'!K52</f>
        <v>140</v>
      </c>
      <c r="L35" s="538">
        <f>'Учебный план (очная)'!L52</f>
        <v>95</v>
      </c>
      <c r="M35" s="138">
        <f t="shared" si="13"/>
        <v>140</v>
      </c>
      <c r="N35" s="138">
        <f t="shared" si="3"/>
        <v>28</v>
      </c>
      <c r="O35" s="138">
        <f t="shared" si="36"/>
        <v>28</v>
      </c>
      <c r="P35" s="138">
        <f t="shared" si="37"/>
        <v>0</v>
      </c>
      <c r="Q35" s="138">
        <f t="shared" si="38"/>
        <v>0</v>
      </c>
      <c r="R35" s="138">
        <f t="shared" si="39"/>
        <v>0</v>
      </c>
      <c r="S35" s="138">
        <f t="shared" si="40"/>
        <v>112</v>
      </c>
      <c r="T35" s="237">
        <f t="shared" si="41"/>
        <v>0</v>
      </c>
      <c r="U35" s="139"/>
      <c r="V35" s="139"/>
      <c r="W35" s="139"/>
      <c r="X35" s="139"/>
      <c r="Y35" s="139"/>
      <c r="Z35" s="237">
        <f t="shared" si="42"/>
        <v>0</v>
      </c>
      <c r="AA35" s="139"/>
      <c r="AB35" s="139"/>
      <c r="AC35" s="139"/>
      <c r="AD35" s="139"/>
      <c r="AE35" s="139"/>
      <c r="AF35" s="237">
        <f t="shared" si="43"/>
        <v>70</v>
      </c>
      <c r="AG35" s="139">
        <v>14</v>
      </c>
      <c r="AH35" s="139"/>
      <c r="AI35" s="139"/>
      <c r="AJ35" s="139"/>
      <c r="AK35" s="139">
        <v>56</v>
      </c>
      <c r="AL35" s="237">
        <f t="shared" si="44"/>
        <v>70</v>
      </c>
      <c r="AM35" s="139">
        <v>14</v>
      </c>
      <c r="AN35" s="139"/>
      <c r="AO35" s="139"/>
      <c r="AP35" s="139"/>
      <c r="AQ35" s="139">
        <v>56</v>
      </c>
      <c r="AR35" s="237">
        <f t="shared" si="45"/>
        <v>0</v>
      </c>
      <c r="AS35" s="139"/>
      <c r="AT35" s="139"/>
      <c r="AU35" s="139"/>
      <c r="AV35" s="139"/>
      <c r="AW35" s="139"/>
      <c r="AX35" s="139"/>
      <c r="AY35" s="135" t="str">
        <f>'Учебный план (очная)'!CD52</f>
        <v>64-6</v>
      </c>
      <c r="AZ35" s="135" t="str">
        <f>'Учебный план (очная)'!CE52</f>
        <v>ОК 1-10; ПК 1.1-1.5</v>
      </c>
    </row>
    <row r="36" spans="1:52" s="177" customFormat="1" ht="26.1" customHeight="1" x14ac:dyDescent="0.2">
      <c r="A36" s="542">
        <f>'Учебный план (очная)'!A53</f>
        <v>0</v>
      </c>
      <c r="B36" s="542" t="str">
        <f>'Учебный план (очная)'!B53</f>
        <v>Силовая преобразовательная техника</v>
      </c>
      <c r="C36" s="134"/>
      <c r="D36" s="135"/>
      <c r="E36" s="135" t="s">
        <v>29</v>
      </c>
      <c r="F36" s="135"/>
      <c r="G36" s="135"/>
      <c r="H36" s="135"/>
      <c r="I36" s="139">
        <f t="shared" si="34"/>
        <v>0</v>
      </c>
      <c r="J36" s="537">
        <f t="shared" si="35"/>
        <v>10.8</v>
      </c>
      <c r="K36" s="538">
        <f>'Учебный план (очная)'!K53</f>
        <v>56</v>
      </c>
      <c r="L36" s="538">
        <f>'Учебный план (очная)'!L53</f>
        <v>36</v>
      </c>
      <c r="M36" s="138">
        <f t="shared" si="13"/>
        <v>56</v>
      </c>
      <c r="N36" s="138">
        <f t="shared" si="3"/>
        <v>10</v>
      </c>
      <c r="O36" s="138">
        <f t="shared" si="36"/>
        <v>8</v>
      </c>
      <c r="P36" s="138">
        <f t="shared" si="37"/>
        <v>2</v>
      </c>
      <c r="Q36" s="138">
        <f t="shared" si="38"/>
        <v>0</v>
      </c>
      <c r="R36" s="138">
        <f t="shared" si="39"/>
        <v>0</v>
      </c>
      <c r="S36" s="138">
        <f t="shared" si="40"/>
        <v>46</v>
      </c>
      <c r="T36" s="237">
        <f t="shared" si="41"/>
        <v>0</v>
      </c>
      <c r="U36" s="139"/>
      <c r="V36" s="139"/>
      <c r="W36" s="139"/>
      <c r="X36" s="139"/>
      <c r="Y36" s="139"/>
      <c r="Z36" s="237">
        <f t="shared" si="42"/>
        <v>0</v>
      </c>
      <c r="AA36" s="139"/>
      <c r="AB36" s="139"/>
      <c r="AC36" s="139"/>
      <c r="AD36" s="139"/>
      <c r="AE36" s="139"/>
      <c r="AF36" s="237">
        <f t="shared" si="43"/>
        <v>56</v>
      </c>
      <c r="AG36" s="139">
        <v>8</v>
      </c>
      <c r="AH36" s="139">
        <v>2</v>
      </c>
      <c r="AI36" s="139"/>
      <c r="AJ36" s="139"/>
      <c r="AK36" s="139">
        <v>46</v>
      </c>
      <c r="AL36" s="237">
        <f t="shared" si="44"/>
        <v>0</v>
      </c>
      <c r="AM36" s="139"/>
      <c r="AN36" s="139"/>
      <c r="AO36" s="139"/>
      <c r="AP36" s="139"/>
      <c r="AQ36" s="139"/>
      <c r="AR36" s="237">
        <f t="shared" si="45"/>
        <v>0</v>
      </c>
      <c r="AS36" s="139"/>
      <c r="AT36" s="139"/>
      <c r="AU36" s="139"/>
      <c r="AV36" s="139"/>
      <c r="AW36" s="139"/>
      <c r="AX36" s="139"/>
      <c r="AY36" s="135" t="str">
        <f>'Учебный план (очная)'!CD53</f>
        <v>64-6</v>
      </c>
      <c r="AZ36" s="135" t="str">
        <f>'Учебный план (очная)'!CE53</f>
        <v>ОК 1-10; ПК 1.1-1.5</v>
      </c>
    </row>
    <row r="37" spans="1:52" s="177" customFormat="1" ht="26.1" customHeight="1" x14ac:dyDescent="0.2">
      <c r="A37" s="542">
        <f>'Учебный план (очная)'!A54</f>
        <v>0</v>
      </c>
      <c r="B37" s="542" t="str">
        <f>'Учебный план (очная)'!B54</f>
        <v>Судовые электроприводы</v>
      </c>
      <c r="C37" s="134"/>
      <c r="D37" s="135"/>
      <c r="E37" s="135" t="s">
        <v>39</v>
      </c>
      <c r="F37" s="135"/>
      <c r="G37" s="145" t="s">
        <v>39</v>
      </c>
      <c r="H37" s="579" t="s">
        <v>29</v>
      </c>
      <c r="I37" s="139">
        <f t="shared" si="34"/>
        <v>0</v>
      </c>
      <c r="J37" s="537">
        <f t="shared" si="35"/>
        <v>36.9</v>
      </c>
      <c r="K37" s="538">
        <f>'Учебный план (очная)'!K54</f>
        <v>184</v>
      </c>
      <c r="L37" s="538">
        <f>'Учебный план (очная)'!L54</f>
        <v>123</v>
      </c>
      <c r="M37" s="138">
        <f t="shared" si="13"/>
        <v>184</v>
      </c>
      <c r="N37" s="138">
        <f t="shared" si="3"/>
        <v>38</v>
      </c>
      <c r="O37" s="138">
        <f t="shared" si="36"/>
        <v>34</v>
      </c>
      <c r="P37" s="138">
        <f t="shared" si="37"/>
        <v>4</v>
      </c>
      <c r="Q37" s="138">
        <f t="shared" si="38"/>
        <v>0</v>
      </c>
      <c r="R37" s="138">
        <f t="shared" si="39"/>
        <v>0</v>
      </c>
      <c r="S37" s="138">
        <f t="shared" si="40"/>
        <v>146</v>
      </c>
      <c r="T37" s="237">
        <f t="shared" si="41"/>
        <v>0</v>
      </c>
      <c r="U37" s="139"/>
      <c r="V37" s="139"/>
      <c r="W37" s="139"/>
      <c r="X37" s="139"/>
      <c r="Y37" s="139"/>
      <c r="Z37" s="237">
        <f t="shared" si="42"/>
        <v>0</v>
      </c>
      <c r="AA37" s="139"/>
      <c r="AB37" s="139"/>
      <c r="AC37" s="139"/>
      <c r="AD37" s="139"/>
      <c r="AE37" s="139"/>
      <c r="AF37" s="237">
        <f t="shared" si="43"/>
        <v>93</v>
      </c>
      <c r="AG37" s="139">
        <v>12</v>
      </c>
      <c r="AH37" s="139">
        <v>4</v>
      </c>
      <c r="AI37" s="139"/>
      <c r="AJ37" s="139"/>
      <c r="AK37" s="139">
        <v>77</v>
      </c>
      <c r="AL37" s="237">
        <f t="shared" si="44"/>
        <v>91</v>
      </c>
      <c r="AM37" s="139">
        <v>22</v>
      </c>
      <c r="AN37" s="139"/>
      <c r="AO37" s="139"/>
      <c r="AP37" s="139"/>
      <c r="AQ37" s="139">
        <v>69</v>
      </c>
      <c r="AR37" s="237">
        <f t="shared" si="45"/>
        <v>0</v>
      </c>
      <c r="AS37" s="157"/>
      <c r="AT37" s="157"/>
      <c r="AU37" s="139"/>
      <c r="AV37" s="139"/>
      <c r="AW37" s="139"/>
      <c r="AX37" s="139"/>
      <c r="AY37" s="135" t="str">
        <f>'Учебный план (очная)'!CD54</f>
        <v>64-6</v>
      </c>
      <c r="AZ37" s="135" t="str">
        <f>'Учебный план (очная)'!CE54</f>
        <v>ОК 1-10; ПК 1.1-1.5</v>
      </c>
    </row>
    <row r="38" spans="1:52" s="177" customFormat="1" ht="26.1" customHeight="1" x14ac:dyDescent="0.2">
      <c r="A38" s="542">
        <f>'Учебный план (очная)'!A55</f>
        <v>0</v>
      </c>
      <c r="B38" s="542" t="str">
        <f>'Учебный план (очная)'!B55</f>
        <v>Судовые автоматизированные электроэнергетические системы</v>
      </c>
      <c r="C38" s="134"/>
      <c r="D38" s="135"/>
      <c r="E38" s="135" t="s">
        <v>39</v>
      </c>
      <c r="F38" s="135"/>
      <c r="G38" s="145" t="s">
        <v>39</v>
      </c>
      <c r="H38" s="421" t="s">
        <v>29</v>
      </c>
      <c r="I38" s="139">
        <f t="shared" si="34"/>
        <v>0</v>
      </c>
      <c r="J38" s="537">
        <f t="shared" si="35"/>
        <v>40.200000000000003</v>
      </c>
      <c r="K38" s="538">
        <f>'Учебный план (очная)'!K55</f>
        <v>199</v>
      </c>
      <c r="L38" s="538">
        <f>'Учебный план (очная)'!L55</f>
        <v>134</v>
      </c>
      <c r="M38" s="138">
        <f t="shared" si="13"/>
        <v>199</v>
      </c>
      <c r="N38" s="138">
        <f t="shared" si="3"/>
        <v>38</v>
      </c>
      <c r="O38" s="138">
        <f t="shared" si="36"/>
        <v>38</v>
      </c>
      <c r="P38" s="138">
        <f t="shared" si="37"/>
        <v>0</v>
      </c>
      <c r="Q38" s="138">
        <f t="shared" si="38"/>
        <v>0</v>
      </c>
      <c r="R38" s="138">
        <f t="shared" si="39"/>
        <v>0</v>
      </c>
      <c r="S38" s="138">
        <f t="shared" si="40"/>
        <v>161</v>
      </c>
      <c r="T38" s="237">
        <f t="shared" si="41"/>
        <v>0</v>
      </c>
      <c r="U38" s="139"/>
      <c r="V38" s="139"/>
      <c r="W38" s="139"/>
      <c r="X38" s="139"/>
      <c r="Y38" s="139"/>
      <c r="Z38" s="237">
        <f t="shared" si="42"/>
        <v>0</v>
      </c>
      <c r="AA38" s="139"/>
      <c r="AB38" s="139"/>
      <c r="AC38" s="139"/>
      <c r="AD38" s="139"/>
      <c r="AE38" s="139"/>
      <c r="AF38" s="237">
        <f t="shared" si="43"/>
        <v>98</v>
      </c>
      <c r="AG38" s="139">
        <v>8</v>
      </c>
      <c r="AH38" s="139"/>
      <c r="AI38" s="139"/>
      <c r="AJ38" s="139"/>
      <c r="AK38" s="139">
        <v>90</v>
      </c>
      <c r="AL38" s="237">
        <f t="shared" si="44"/>
        <v>101</v>
      </c>
      <c r="AM38" s="157">
        <v>30</v>
      </c>
      <c r="AN38" s="157"/>
      <c r="AO38" s="139"/>
      <c r="AP38" s="139"/>
      <c r="AQ38" s="139">
        <v>71</v>
      </c>
      <c r="AR38" s="237">
        <f t="shared" si="45"/>
        <v>0</v>
      </c>
      <c r="AS38" s="139"/>
      <c r="AT38" s="139"/>
      <c r="AU38" s="139"/>
      <c r="AV38" s="139"/>
      <c r="AW38" s="139"/>
      <c r="AX38" s="139"/>
      <c r="AY38" s="135" t="str">
        <f>'Учебный план (очная)'!CD55</f>
        <v>64-6</v>
      </c>
      <c r="AZ38" s="135" t="str">
        <f>'Учебный план (очная)'!CE55</f>
        <v>ОК 1-10; ПК 1.1-1.5</v>
      </c>
    </row>
    <row r="39" spans="1:52" s="177" customFormat="1" ht="26.1" customHeight="1" x14ac:dyDescent="0.2">
      <c r="A39" s="542">
        <f>'Учебный план (очная)'!A56</f>
        <v>0</v>
      </c>
      <c r="B39" s="542" t="str">
        <f>'Учебный план (очная)'!B56</f>
        <v>Электрические аппараты</v>
      </c>
      <c r="C39" s="134"/>
      <c r="D39" s="135"/>
      <c r="E39" s="135" t="s">
        <v>29</v>
      </c>
      <c r="F39" s="135"/>
      <c r="G39" s="135"/>
      <c r="H39" s="135"/>
      <c r="I39" s="139">
        <f t="shared" si="34"/>
        <v>0</v>
      </c>
      <c r="J39" s="537">
        <f t="shared" si="35"/>
        <v>10.8</v>
      </c>
      <c r="K39" s="538">
        <f>'Учебный план (очная)'!K56</f>
        <v>55</v>
      </c>
      <c r="L39" s="538">
        <f>'Учебный план (очная)'!L56</f>
        <v>36</v>
      </c>
      <c r="M39" s="138">
        <f t="shared" si="13"/>
        <v>55</v>
      </c>
      <c r="N39" s="138">
        <f t="shared" si="3"/>
        <v>10</v>
      </c>
      <c r="O39" s="138">
        <f t="shared" si="36"/>
        <v>10</v>
      </c>
      <c r="P39" s="138">
        <f t="shared" si="37"/>
        <v>0</v>
      </c>
      <c r="Q39" s="138">
        <f t="shared" si="38"/>
        <v>0</v>
      </c>
      <c r="R39" s="138">
        <f t="shared" si="39"/>
        <v>0</v>
      </c>
      <c r="S39" s="138">
        <f t="shared" si="40"/>
        <v>45</v>
      </c>
      <c r="T39" s="237">
        <f t="shared" si="41"/>
        <v>0</v>
      </c>
      <c r="U39" s="139"/>
      <c r="V39" s="139"/>
      <c r="W39" s="139"/>
      <c r="X39" s="139"/>
      <c r="Y39" s="139"/>
      <c r="Z39" s="237">
        <f t="shared" si="42"/>
        <v>0</v>
      </c>
      <c r="AA39" s="139"/>
      <c r="AB39" s="139"/>
      <c r="AC39" s="139"/>
      <c r="AD39" s="139"/>
      <c r="AE39" s="139"/>
      <c r="AF39" s="237">
        <f t="shared" si="43"/>
        <v>55</v>
      </c>
      <c r="AG39" s="139">
        <v>10</v>
      </c>
      <c r="AH39" s="139"/>
      <c r="AI39" s="139"/>
      <c r="AJ39" s="139"/>
      <c r="AK39" s="139">
        <v>45</v>
      </c>
      <c r="AL39" s="237">
        <f t="shared" si="44"/>
        <v>0</v>
      </c>
      <c r="AM39" s="139"/>
      <c r="AN39" s="139"/>
      <c r="AO39" s="139"/>
      <c r="AP39" s="139"/>
      <c r="AQ39" s="139"/>
      <c r="AR39" s="237">
        <f t="shared" si="45"/>
        <v>0</v>
      </c>
      <c r="AS39" s="139"/>
      <c r="AT39" s="139"/>
      <c r="AU39" s="139"/>
      <c r="AV39" s="139"/>
      <c r="AW39" s="139"/>
      <c r="AX39" s="139"/>
      <c r="AY39" s="135" t="str">
        <f>'Учебный план (очная)'!CD56</f>
        <v>64-6</v>
      </c>
      <c r="AZ39" s="135" t="str">
        <f>'Учебный план (очная)'!CE56</f>
        <v>ОК 1-10; ПК 1.1-1.5</v>
      </c>
    </row>
    <row r="40" spans="1:52" s="177" customFormat="1" ht="26.1" customHeight="1" x14ac:dyDescent="0.2">
      <c r="A40" s="542">
        <f>'Учебный план (очная)'!A57</f>
        <v>0</v>
      </c>
      <c r="B40" s="542" t="str">
        <f>'Учебный план (очная)'!B57</f>
        <v>Микропроцессорные системы  управления</v>
      </c>
      <c r="C40" s="134"/>
      <c r="D40" s="135" t="s">
        <v>29</v>
      </c>
      <c r="E40" s="135"/>
      <c r="F40" s="135"/>
      <c r="G40" s="135"/>
      <c r="H40" s="421" t="s">
        <v>29</v>
      </c>
      <c r="I40" s="139">
        <f t="shared" si="34"/>
        <v>0</v>
      </c>
      <c r="J40" s="537">
        <f t="shared" si="35"/>
        <v>15.6</v>
      </c>
      <c r="K40" s="538">
        <f>'Учебный план (очная)'!K57</f>
        <v>81</v>
      </c>
      <c r="L40" s="538">
        <f>'Учебный план (очная)'!L57</f>
        <v>52</v>
      </c>
      <c r="M40" s="138">
        <f t="shared" si="13"/>
        <v>81</v>
      </c>
      <c r="N40" s="138">
        <f t="shared" si="3"/>
        <v>14</v>
      </c>
      <c r="O40" s="138">
        <f t="shared" si="36"/>
        <v>10</v>
      </c>
      <c r="P40" s="138">
        <f t="shared" si="37"/>
        <v>4</v>
      </c>
      <c r="Q40" s="138">
        <f t="shared" si="38"/>
        <v>0</v>
      </c>
      <c r="R40" s="138">
        <f t="shared" si="39"/>
        <v>0</v>
      </c>
      <c r="S40" s="138">
        <f t="shared" si="40"/>
        <v>67</v>
      </c>
      <c r="T40" s="237">
        <f t="shared" si="41"/>
        <v>0</v>
      </c>
      <c r="U40" s="139"/>
      <c r="V40" s="139"/>
      <c r="W40" s="139"/>
      <c r="X40" s="139"/>
      <c r="Y40" s="139"/>
      <c r="Z40" s="237">
        <f t="shared" si="42"/>
        <v>0</v>
      </c>
      <c r="AA40" s="139"/>
      <c r="AB40" s="139"/>
      <c r="AC40" s="139"/>
      <c r="AD40" s="139"/>
      <c r="AE40" s="139"/>
      <c r="AF40" s="237">
        <f t="shared" si="43"/>
        <v>81</v>
      </c>
      <c r="AG40" s="139">
        <v>10</v>
      </c>
      <c r="AH40" s="139">
        <v>4</v>
      </c>
      <c r="AI40" s="139"/>
      <c r="AJ40" s="139"/>
      <c r="AK40" s="139">
        <v>67</v>
      </c>
      <c r="AL40" s="237">
        <f t="shared" si="44"/>
        <v>0</v>
      </c>
      <c r="AM40" s="139"/>
      <c r="AN40" s="139"/>
      <c r="AO40" s="139"/>
      <c r="AP40" s="139"/>
      <c r="AQ40" s="139"/>
      <c r="AR40" s="237">
        <f t="shared" si="45"/>
        <v>0</v>
      </c>
      <c r="AS40" s="139"/>
      <c r="AT40" s="139"/>
      <c r="AU40" s="139"/>
      <c r="AV40" s="139"/>
      <c r="AW40" s="139"/>
      <c r="AX40" s="139"/>
      <c r="AY40" s="135" t="str">
        <f>'Учебный план (очная)'!CD57</f>
        <v>64-6</v>
      </c>
      <c r="AZ40" s="135" t="str">
        <f>'Учебный план (очная)'!CE57</f>
        <v>ОК 1-10; ПК 1.1-1.5</v>
      </c>
    </row>
    <row r="41" spans="1:52" s="177" customFormat="1" ht="26.1" customHeight="1" x14ac:dyDescent="0.2">
      <c r="A41" s="542">
        <f>'Учебный план (очная)'!A58</f>
        <v>0</v>
      </c>
      <c r="B41" s="542" t="str">
        <f>'Учебный план (очная)'!B58</f>
        <v>Судовые энергетические установки и их эксплуатация</v>
      </c>
      <c r="C41" s="134"/>
      <c r="D41" s="135" t="s">
        <v>29</v>
      </c>
      <c r="E41" s="135"/>
      <c r="F41" s="135"/>
      <c r="G41" s="135"/>
      <c r="H41" s="421" t="s">
        <v>30</v>
      </c>
      <c r="I41" s="139">
        <f t="shared" ref="I41" si="46">K41-M41</f>
        <v>0</v>
      </c>
      <c r="J41" s="537">
        <f t="shared" ref="J41" si="47">L41*$J$3</f>
        <v>20.7</v>
      </c>
      <c r="K41" s="538">
        <f>'Учебный план (очная)'!K58</f>
        <v>108</v>
      </c>
      <c r="L41" s="538">
        <f>'Учебный план (очная)'!L58</f>
        <v>69</v>
      </c>
      <c r="M41" s="138">
        <f t="shared" si="13"/>
        <v>108</v>
      </c>
      <c r="N41" s="138">
        <f t="shared" si="3"/>
        <v>20</v>
      </c>
      <c r="O41" s="138">
        <f t="shared" si="36"/>
        <v>20</v>
      </c>
      <c r="P41" s="138">
        <f t="shared" si="37"/>
        <v>0</v>
      </c>
      <c r="Q41" s="138">
        <f t="shared" si="38"/>
        <v>0</v>
      </c>
      <c r="R41" s="138">
        <f t="shared" si="39"/>
        <v>0</v>
      </c>
      <c r="S41" s="138">
        <f t="shared" si="40"/>
        <v>88</v>
      </c>
      <c r="T41" s="237">
        <f t="shared" si="41"/>
        <v>0</v>
      </c>
      <c r="U41" s="139"/>
      <c r="V41" s="139"/>
      <c r="W41" s="139"/>
      <c r="X41" s="139"/>
      <c r="Y41" s="139"/>
      <c r="Z41" s="237">
        <f t="shared" si="42"/>
        <v>51</v>
      </c>
      <c r="AA41" s="139">
        <v>10</v>
      </c>
      <c r="AB41" s="139"/>
      <c r="AC41" s="139"/>
      <c r="AD41" s="139"/>
      <c r="AE41" s="139">
        <v>41</v>
      </c>
      <c r="AF41" s="237">
        <f t="shared" si="43"/>
        <v>57</v>
      </c>
      <c r="AG41" s="139">
        <v>10</v>
      </c>
      <c r="AH41" s="139"/>
      <c r="AI41" s="139"/>
      <c r="AJ41" s="139"/>
      <c r="AK41" s="139">
        <v>47</v>
      </c>
      <c r="AL41" s="237">
        <f t="shared" si="44"/>
        <v>0</v>
      </c>
      <c r="AM41" s="139"/>
      <c r="AN41" s="139"/>
      <c r="AO41" s="139"/>
      <c r="AP41" s="139"/>
      <c r="AQ41" s="139"/>
      <c r="AR41" s="237"/>
      <c r="AS41" s="139"/>
      <c r="AT41" s="139"/>
      <c r="AU41" s="139"/>
      <c r="AV41" s="139"/>
      <c r="AW41" s="139"/>
      <c r="AX41" s="139"/>
      <c r="AY41" s="135" t="str">
        <f>'Учебный план (очная)'!CD58</f>
        <v>64-5</v>
      </c>
      <c r="AZ41" s="135" t="str">
        <f>'Учебный план (очная)'!CE58</f>
        <v>ОК 1-10; ПК 1.1-1.5</v>
      </c>
    </row>
    <row r="42" spans="1:52" s="177" customFormat="1" ht="26.1" customHeight="1" x14ac:dyDescent="0.2">
      <c r="A42" s="542">
        <f>'Учебный план (очная)'!A59</f>
        <v>0</v>
      </c>
      <c r="B42" s="542" t="str">
        <f>'Учебный план (очная)'!B59</f>
        <v>Предотвращение загрязнения морской окуржающей среды</v>
      </c>
      <c r="C42" s="134"/>
      <c r="D42" s="135"/>
      <c r="E42" s="135" t="s">
        <v>29</v>
      </c>
      <c r="F42" s="135"/>
      <c r="G42" s="135"/>
      <c r="H42" s="135"/>
      <c r="I42" s="139">
        <f t="shared" si="34"/>
        <v>0</v>
      </c>
      <c r="J42" s="537">
        <f t="shared" si="35"/>
        <v>10.5</v>
      </c>
      <c r="K42" s="538">
        <f>'Учебный план (очная)'!K59</f>
        <v>53</v>
      </c>
      <c r="L42" s="538">
        <f>'Учебный план (очная)'!L59</f>
        <v>35</v>
      </c>
      <c r="M42" s="138">
        <f t="shared" si="13"/>
        <v>53</v>
      </c>
      <c r="N42" s="138">
        <f t="shared" si="3"/>
        <v>10</v>
      </c>
      <c r="O42" s="138">
        <f t="shared" si="36"/>
        <v>10</v>
      </c>
      <c r="P42" s="138">
        <f t="shared" si="37"/>
        <v>0</v>
      </c>
      <c r="Q42" s="138">
        <f t="shared" si="38"/>
        <v>0</v>
      </c>
      <c r="R42" s="138">
        <f t="shared" si="39"/>
        <v>0</v>
      </c>
      <c r="S42" s="138">
        <f t="shared" si="40"/>
        <v>43</v>
      </c>
      <c r="T42" s="237">
        <f t="shared" si="41"/>
        <v>0</v>
      </c>
      <c r="U42" s="139"/>
      <c r="V42" s="139"/>
      <c r="W42" s="139"/>
      <c r="X42" s="139"/>
      <c r="Y42" s="139"/>
      <c r="Z42" s="237">
        <f t="shared" si="42"/>
        <v>0</v>
      </c>
      <c r="AA42" s="139"/>
      <c r="AB42" s="139"/>
      <c r="AC42" s="139"/>
      <c r="AD42" s="139"/>
      <c r="AE42" s="139"/>
      <c r="AF42" s="237">
        <f t="shared" si="43"/>
        <v>53</v>
      </c>
      <c r="AG42" s="139">
        <v>10</v>
      </c>
      <c r="AH42" s="139"/>
      <c r="AI42" s="139"/>
      <c r="AJ42" s="139"/>
      <c r="AK42" s="139">
        <v>43</v>
      </c>
      <c r="AL42" s="237">
        <f t="shared" si="44"/>
        <v>0</v>
      </c>
      <c r="AM42" s="139"/>
      <c r="AN42" s="139"/>
      <c r="AO42" s="139"/>
      <c r="AP42" s="139"/>
      <c r="AQ42" s="139"/>
      <c r="AR42" s="237">
        <f>SUM(AS42:AX42)</f>
        <v>0</v>
      </c>
      <c r="AS42" s="139"/>
      <c r="AT42" s="139"/>
      <c r="AU42" s="139"/>
      <c r="AV42" s="139"/>
      <c r="AW42" s="139"/>
      <c r="AX42" s="139"/>
      <c r="AY42" s="135" t="str">
        <f>'Учебный план (очная)'!CD59</f>
        <v>64-6</v>
      </c>
      <c r="AZ42" s="135" t="str">
        <f>'Учебный план (очная)'!CE59</f>
        <v>ОК 1-10; ПК 1.5</v>
      </c>
    </row>
    <row r="43" spans="1:52" s="177" customFormat="1" ht="26.1" customHeight="1" x14ac:dyDescent="0.2">
      <c r="A43" s="543" t="str">
        <f>'Учебный план (очная)'!A60</f>
        <v>Экзамен квалификационный</v>
      </c>
      <c r="B43" s="478"/>
      <c r="C43" s="478"/>
      <c r="D43" s="544">
        <v>4</v>
      </c>
      <c r="E43" s="479"/>
      <c r="F43" s="479"/>
      <c r="G43" s="479"/>
      <c r="H43" s="479"/>
      <c r="I43" s="478"/>
      <c r="J43" s="545"/>
      <c r="K43" s="481">
        <f>'Учебный план (очная)'!K60</f>
        <v>0</v>
      </c>
      <c r="L43" s="481">
        <f>'Учебный план (очная)'!L60</f>
        <v>0</v>
      </c>
      <c r="M43" s="481">
        <f t="shared" si="13"/>
        <v>0</v>
      </c>
      <c r="N43" s="481">
        <f t="shared" si="3"/>
        <v>0</v>
      </c>
      <c r="O43" s="481">
        <f t="shared" si="36"/>
        <v>0</v>
      </c>
      <c r="P43" s="481">
        <f t="shared" si="37"/>
        <v>0</v>
      </c>
      <c r="Q43" s="481">
        <f t="shared" si="38"/>
        <v>0</v>
      </c>
      <c r="R43" s="481">
        <f t="shared" si="39"/>
        <v>0</v>
      </c>
      <c r="S43" s="481">
        <f t="shared" si="40"/>
        <v>0</v>
      </c>
      <c r="T43" s="481"/>
      <c r="U43" s="510"/>
      <c r="V43" s="510"/>
      <c r="W43" s="510"/>
      <c r="X43" s="510"/>
      <c r="Y43" s="510"/>
      <c r="Z43" s="481"/>
      <c r="AA43" s="510"/>
      <c r="AB43" s="510"/>
      <c r="AC43" s="510"/>
      <c r="AD43" s="510"/>
      <c r="AE43" s="510"/>
      <c r="AF43" s="481"/>
      <c r="AG43" s="510"/>
      <c r="AH43" s="510"/>
      <c r="AI43" s="510"/>
      <c r="AJ43" s="510"/>
      <c r="AK43" s="510"/>
      <c r="AL43" s="481"/>
      <c r="AM43" s="510"/>
      <c r="AN43" s="510"/>
      <c r="AO43" s="510"/>
      <c r="AP43" s="510"/>
      <c r="AQ43" s="510"/>
      <c r="AR43" s="481"/>
      <c r="AS43" s="510"/>
      <c r="AT43" s="510"/>
      <c r="AU43" s="510"/>
      <c r="AV43" s="510"/>
      <c r="AW43" s="510"/>
      <c r="AX43" s="510"/>
      <c r="AY43" s="357"/>
      <c r="AZ43" s="546"/>
    </row>
    <row r="44" spans="1:52" s="213" customFormat="1" ht="26.1" customHeight="1" x14ac:dyDescent="0.2">
      <c r="A44" s="569" t="str">
        <f>'Учебный план (очная)'!A61</f>
        <v xml:space="preserve">ПМ.02 </v>
      </c>
      <c r="B44" s="647" t="str">
        <f>'Учебный план (очная)'!B61:H61</f>
        <v xml:space="preserve">Организация работы коллектива исполнителей </v>
      </c>
      <c r="C44" s="647"/>
      <c r="D44" s="647"/>
      <c r="E44" s="647"/>
      <c r="F44" s="647"/>
      <c r="G44" s="647"/>
      <c r="H44" s="647"/>
      <c r="I44" s="565"/>
      <c r="J44" s="568"/>
      <c r="K44" s="482">
        <f>'Учебный план (очная)'!K61</f>
        <v>123</v>
      </c>
      <c r="L44" s="482">
        <f>'Учебный план (очная)'!L61</f>
        <v>85</v>
      </c>
      <c r="M44" s="482">
        <f t="shared" si="13"/>
        <v>123</v>
      </c>
      <c r="N44" s="482">
        <f t="shared" si="3"/>
        <v>26</v>
      </c>
      <c r="O44" s="482">
        <f t="shared" si="36"/>
        <v>26</v>
      </c>
      <c r="P44" s="482">
        <f t="shared" si="37"/>
        <v>0</v>
      </c>
      <c r="Q44" s="482">
        <f t="shared" si="38"/>
        <v>0</v>
      </c>
      <c r="R44" s="482">
        <f t="shared" si="39"/>
        <v>0</v>
      </c>
      <c r="S44" s="482">
        <f t="shared" si="40"/>
        <v>97</v>
      </c>
      <c r="T44" s="503">
        <f t="shared" ref="T44:AX44" si="48">SUM(T46:T48)</f>
        <v>0</v>
      </c>
      <c r="U44" s="503">
        <f t="shared" si="48"/>
        <v>0</v>
      </c>
      <c r="V44" s="503">
        <f t="shared" si="48"/>
        <v>0</v>
      </c>
      <c r="W44" s="503">
        <f t="shared" si="48"/>
        <v>0</v>
      </c>
      <c r="X44" s="503">
        <f t="shared" si="48"/>
        <v>0</v>
      </c>
      <c r="Y44" s="503">
        <f t="shared" si="48"/>
        <v>0</v>
      </c>
      <c r="Z44" s="503">
        <f t="shared" si="48"/>
        <v>0</v>
      </c>
      <c r="AA44" s="503">
        <f t="shared" si="48"/>
        <v>0</v>
      </c>
      <c r="AB44" s="503">
        <f t="shared" si="48"/>
        <v>0</v>
      </c>
      <c r="AC44" s="503">
        <f t="shared" si="48"/>
        <v>0</v>
      </c>
      <c r="AD44" s="503">
        <f t="shared" si="48"/>
        <v>0</v>
      </c>
      <c r="AE44" s="503">
        <f t="shared" si="48"/>
        <v>0</v>
      </c>
      <c r="AF44" s="503">
        <f t="shared" si="48"/>
        <v>123</v>
      </c>
      <c r="AG44" s="503">
        <f t="shared" si="48"/>
        <v>26</v>
      </c>
      <c r="AH44" s="503">
        <f t="shared" si="48"/>
        <v>0</v>
      </c>
      <c r="AI44" s="503">
        <f t="shared" si="48"/>
        <v>0</v>
      </c>
      <c r="AJ44" s="503">
        <f t="shared" si="48"/>
        <v>0</v>
      </c>
      <c r="AK44" s="503">
        <f t="shared" si="48"/>
        <v>97</v>
      </c>
      <c r="AL44" s="503">
        <f t="shared" si="48"/>
        <v>0</v>
      </c>
      <c r="AM44" s="503">
        <f t="shared" si="48"/>
        <v>0</v>
      </c>
      <c r="AN44" s="503">
        <f t="shared" si="48"/>
        <v>0</v>
      </c>
      <c r="AO44" s="503">
        <f t="shared" si="48"/>
        <v>0</v>
      </c>
      <c r="AP44" s="503">
        <f t="shared" si="48"/>
        <v>0</v>
      </c>
      <c r="AQ44" s="503">
        <f t="shared" si="48"/>
        <v>0</v>
      </c>
      <c r="AR44" s="503">
        <f t="shared" si="48"/>
        <v>0</v>
      </c>
      <c r="AS44" s="503">
        <f t="shared" si="48"/>
        <v>0</v>
      </c>
      <c r="AT44" s="503">
        <f t="shared" si="48"/>
        <v>0</v>
      </c>
      <c r="AU44" s="503">
        <f t="shared" si="48"/>
        <v>0</v>
      </c>
      <c r="AV44" s="503">
        <f t="shared" si="48"/>
        <v>0</v>
      </c>
      <c r="AW44" s="503">
        <f t="shared" si="48"/>
        <v>0</v>
      </c>
      <c r="AX44" s="503">
        <f t="shared" si="48"/>
        <v>0</v>
      </c>
      <c r="AY44" s="505">
        <f>'Учебный план (очная)'!CD61</f>
        <v>0</v>
      </c>
      <c r="AZ44" s="505" t="str">
        <f>'Учебный план (очная)'!CE61</f>
        <v>ОК 1-10; ПК 2.1-2.3</v>
      </c>
    </row>
    <row r="45" spans="1:52" s="213" customFormat="1" ht="26.1" customHeight="1" x14ac:dyDescent="0.2">
      <c r="A45" s="563" t="str">
        <f>'Учебный план (очная)'!A62</f>
        <v>МДК.02.01</v>
      </c>
      <c r="B45" s="765" t="str">
        <f>'Учебный план (очная)'!B62</f>
        <v>Основы управления коллективом исполнителей</v>
      </c>
      <c r="C45" s="766"/>
      <c r="D45" s="766"/>
      <c r="E45" s="766"/>
      <c r="F45" s="766"/>
      <c r="G45" s="766"/>
      <c r="H45" s="767"/>
      <c r="I45" s="564"/>
      <c r="J45" s="563"/>
      <c r="K45" s="483"/>
      <c r="L45" s="483"/>
      <c r="M45" s="483"/>
      <c r="N45" s="483"/>
      <c r="O45" s="483"/>
      <c r="P45" s="483"/>
      <c r="Q45" s="483"/>
      <c r="R45" s="483"/>
      <c r="S45" s="483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7"/>
      <c r="AG45" s="507"/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07"/>
      <c r="AW45" s="507"/>
      <c r="AX45" s="507"/>
      <c r="AY45" s="509"/>
      <c r="AZ45" s="509"/>
    </row>
    <row r="46" spans="1:52" s="177" customFormat="1" ht="26.1" customHeight="1" x14ac:dyDescent="0.2">
      <c r="A46" s="542">
        <f>'Учебный план (очная)'!A63</f>
        <v>0</v>
      </c>
      <c r="B46" s="548" t="str">
        <f>'Учебный план (очная)'!B63</f>
        <v>Планирование и руководство работы структурного подразделения</v>
      </c>
      <c r="C46" s="134"/>
      <c r="D46" s="135"/>
      <c r="E46" s="135" t="s">
        <v>29</v>
      </c>
      <c r="F46" s="135"/>
      <c r="G46" s="135"/>
      <c r="H46" s="421" t="s">
        <v>29</v>
      </c>
      <c r="I46" s="139">
        <f t="shared" ref="I46:I47" si="49">K46-M46</f>
        <v>0</v>
      </c>
      <c r="J46" s="537">
        <f t="shared" ref="J46:J47" si="50">L46*$J$3</f>
        <v>11.4</v>
      </c>
      <c r="K46" s="538">
        <f>'Учебный план (очная)'!K63</f>
        <v>56</v>
      </c>
      <c r="L46" s="538">
        <f>'Учебный план (очная)'!L63</f>
        <v>38</v>
      </c>
      <c r="M46" s="138">
        <f t="shared" si="13"/>
        <v>56</v>
      </c>
      <c r="N46" s="138">
        <f t="shared" ref="N46:N67" si="51">SUM(O46:R46)</f>
        <v>14</v>
      </c>
      <c r="O46" s="138">
        <f t="shared" ref="O46:R49" si="52">U46+AA46+AG46+AM46+AS46</f>
        <v>14</v>
      </c>
      <c r="P46" s="138">
        <f t="shared" si="52"/>
        <v>0</v>
      </c>
      <c r="Q46" s="138">
        <f t="shared" si="52"/>
        <v>0</v>
      </c>
      <c r="R46" s="138">
        <f t="shared" si="52"/>
        <v>0</v>
      </c>
      <c r="S46" s="138">
        <f>Y46+AE46+AK46+AQ46+AX46</f>
        <v>42</v>
      </c>
      <c r="T46" s="237">
        <f>SUM(U46:Y46)</f>
        <v>0</v>
      </c>
      <c r="U46" s="139"/>
      <c r="V46" s="139"/>
      <c r="W46" s="139"/>
      <c r="X46" s="139"/>
      <c r="Y46" s="139"/>
      <c r="Z46" s="237">
        <f>SUM(AA46:AE46)</f>
        <v>0</v>
      </c>
      <c r="AA46" s="139"/>
      <c r="AB46" s="139"/>
      <c r="AC46" s="139"/>
      <c r="AD46" s="139"/>
      <c r="AE46" s="139"/>
      <c r="AF46" s="237">
        <f>SUM(AG46:AK46)</f>
        <v>56</v>
      </c>
      <c r="AG46" s="139">
        <v>14</v>
      </c>
      <c r="AH46" s="139"/>
      <c r="AI46" s="139"/>
      <c r="AJ46" s="139"/>
      <c r="AK46" s="139">
        <v>42</v>
      </c>
      <c r="AL46" s="237">
        <f>SUM(AM46:AQ46)</f>
        <v>0</v>
      </c>
      <c r="AM46" s="139"/>
      <c r="AN46" s="139"/>
      <c r="AO46" s="139"/>
      <c r="AP46" s="139"/>
      <c r="AQ46" s="139"/>
      <c r="AR46" s="237">
        <f>SUM(AS46:AX46)</f>
        <v>0</v>
      </c>
      <c r="AS46" s="139"/>
      <c r="AT46" s="139"/>
      <c r="AU46" s="139"/>
      <c r="AV46" s="139"/>
      <c r="AW46" s="139"/>
      <c r="AX46" s="139"/>
      <c r="AY46" s="135" t="str">
        <f>'Учебный план (очная)'!CD63</f>
        <v>64-8</v>
      </c>
      <c r="AZ46" s="135" t="str">
        <f>'Учебный план (очная)'!CE63</f>
        <v>ОК 1-10; ПК 2.1-2.3</v>
      </c>
    </row>
    <row r="47" spans="1:52" s="177" customFormat="1" ht="26.1" customHeight="1" x14ac:dyDescent="0.2">
      <c r="A47" s="542">
        <f>'Учебный план (очная)'!A64</f>
        <v>0</v>
      </c>
      <c r="B47" s="548" t="str">
        <f>'Учебный план (очная)'!B64</f>
        <v>Анализ деятельности структурного подразделения</v>
      </c>
      <c r="C47" s="134"/>
      <c r="D47" s="135"/>
      <c r="E47" s="135" t="s">
        <v>39</v>
      </c>
      <c r="F47" s="135"/>
      <c r="G47" s="135"/>
      <c r="H47" s="145"/>
      <c r="I47" s="139">
        <f t="shared" si="49"/>
        <v>0</v>
      </c>
      <c r="J47" s="537">
        <f t="shared" si="50"/>
        <v>14.1</v>
      </c>
      <c r="K47" s="538">
        <f>'Учебный план (очная)'!K64</f>
        <v>67</v>
      </c>
      <c r="L47" s="538">
        <f>'Учебный план (очная)'!L64</f>
        <v>47</v>
      </c>
      <c r="M47" s="138">
        <f t="shared" si="13"/>
        <v>67</v>
      </c>
      <c r="N47" s="138">
        <f t="shared" si="51"/>
        <v>12</v>
      </c>
      <c r="O47" s="138">
        <f t="shared" si="52"/>
        <v>12</v>
      </c>
      <c r="P47" s="138">
        <f t="shared" si="52"/>
        <v>0</v>
      </c>
      <c r="Q47" s="138">
        <f t="shared" si="52"/>
        <v>0</v>
      </c>
      <c r="R47" s="138">
        <f t="shared" si="52"/>
        <v>0</v>
      </c>
      <c r="S47" s="138">
        <f>Y47+AE47+AK47+AQ47+AX47</f>
        <v>55</v>
      </c>
      <c r="T47" s="237">
        <f>SUM(U47:Y47)</f>
        <v>0</v>
      </c>
      <c r="U47" s="139"/>
      <c r="V47" s="139"/>
      <c r="W47" s="139"/>
      <c r="X47" s="139"/>
      <c r="Y47" s="139"/>
      <c r="Z47" s="237">
        <f>SUM(AA47:AE47)</f>
        <v>0</v>
      </c>
      <c r="AA47" s="139"/>
      <c r="AB47" s="139"/>
      <c r="AC47" s="139"/>
      <c r="AD47" s="139"/>
      <c r="AE47" s="139"/>
      <c r="AF47" s="237">
        <f>SUM(AG47:AK47)</f>
        <v>67</v>
      </c>
      <c r="AG47" s="139">
        <v>12</v>
      </c>
      <c r="AH47" s="139"/>
      <c r="AI47" s="139"/>
      <c r="AJ47" s="139"/>
      <c r="AK47" s="139">
        <v>55</v>
      </c>
      <c r="AL47" s="237">
        <f>SUM(AM47:AQ47)</f>
        <v>0</v>
      </c>
      <c r="AM47" s="139"/>
      <c r="AN47" s="139"/>
      <c r="AO47" s="139"/>
      <c r="AP47" s="139"/>
      <c r="AQ47" s="139"/>
      <c r="AR47" s="237">
        <f>SUM(AS47:AX47)</f>
        <v>0</v>
      </c>
      <c r="AS47" s="139"/>
      <c r="AT47" s="139"/>
      <c r="AU47" s="139"/>
      <c r="AV47" s="139"/>
      <c r="AW47" s="139"/>
      <c r="AX47" s="139"/>
      <c r="AY47" s="135" t="str">
        <f>'Учебный план (очная)'!CD64</f>
        <v>64-8</v>
      </c>
      <c r="AZ47" s="135" t="str">
        <f>'Учебный план (очная)'!CE64</f>
        <v>ОК 1-10; ПК 2.1-2.3</v>
      </c>
    </row>
    <row r="48" spans="1:52" s="177" customFormat="1" ht="26.1" customHeight="1" x14ac:dyDescent="0.2">
      <c r="A48" s="543" t="str">
        <f>'Учебный план (очная)'!A65</f>
        <v>Экзамен квалификационный</v>
      </c>
      <c r="B48" s="549"/>
      <c r="C48" s="549"/>
      <c r="D48" s="357" t="s">
        <v>39</v>
      </c>
      <c r="E48" s="357"/>
      <c r="F48" s="357"/>
      <c r="G48" s="357"/>
      <c r="H48" s="357"/>
      <c r="I48" s="357"/>
      <c r="J48" s="550"/>
      <c r="K48" s="481">
        <f>'Учебный план (очная)'!K65</f>
        <v>0</v>
      </c>
      <c r="L48" s="481">
        <f>'Учебный план (очная)'!L65</f>
        <v>0</v>
      </c>
      <c r="M48" s="481">
        <f t="shared" si="13"/>
        <v>0</v>
      </c>
      <c r="N48" s="481">
        <f t="shared" si="51"/>
        <v>0</v>
      </c>
      <c r="O48" s="481">
        <f t="shared" si="52"/>
        <v>0</v>
      </c>
      <c r="P48" s="481">
        <f t="shared" si="52"/>
        <v>0</v>
      </c>
      <c r="Q48" s="481">
        <f t="shared" si="52"/>
        <v>0</v>
      </c>
      <c r="R48" s="481">
        <f t="shared" si="52"/>
        <v>0</v>
      </c>
      <c r="S48" s="481">
        <f>Y48+AE48+AK48+AQ48+AX48</f>
        <v>0</v>
      </c>
      <c r="T48" s="481"/>
      <c r="U48" s="510"/>
      <c r="V48" s="510"/>
      <c r="W48" s="510"/>
      <c r="X48" s="510"/>
      <c r="Y48" s="510"/>
      <c r="Z48" s="481"/>
      <c r="AA48" s="510"/>
      <c r="AB48" s="510"/>
      <c r="AC48" s="510"/>
      <c r="AD48" s="510"/>
      <c r="AE48" s="510"/>
      <c r="AF48" s="481"/>
      <c r="AG48" s="510"/>
      <c r="AH48" s="510"/>
      <c r="AI48" s="510"/>
      <c r="AJ48" s="510"/>
      <c r="AK48" s="510"/>
      <c r="AL48" s="481"/>
      <c r="AM48" s="510"/>
      <c r="AN48" s="510"/>
      <c r="AO48" s="510"/>
      <c r="AP48" s="510"/>
      <c r="AQ48" s="510"/>
      <c r="AR48" s="481"/>
      <c r="AS48" s="510"/>
      <c r="AT48" s="510"/>
      <c r="AU48" s="510"/>
      <c r="AV48" s="510"/>
      <c r="AW48" s="510"/>
      <c r="AX48" s="510"/>
      <c r="AY48" s="357"/>
      <c r="AZ48" s="546"/>
    </row>
    <row r="49" spans="1:52" s="213" customFormat="1" ht="26.1" customHeight="1" x14ac:dyDescent="0.2">
      <c r="A49" s="565" t="str">
        <f>'Учебный план (очная)'!A66</f>
        <v>ПМ.03</v>
      </c>
      <c r="B49" s="647" t="str">
        <f>'Учебный план (очная)'!B66:H66</f>
        <v xml:space="preserve">Обеспечение безопасности плавания                                                   </v>
      </c>
      <c r="C49" s="647"/>
      <c r="D49" s="647"/>
      <c r="E49" s="647"/>
      <c r="F49" s="647"/>
      <c r="G49" s="647"/>
      <c r="H49" s="647"/>
      <c r="I49" s="565"/>
      <c r="J49" s="568"/>
      <c r="K49" s="482">
        <f>'Учебный план (очная)'!K66</f>
        <v>273</v>
      </c>
      <c r="L49" s="482">
        <f>'Учебный план (очная)'!L66</f>
        <v>182</v>
      </c>
      <c r="M49" s="482">
        <f t="shared" si="13"/>
        <v>273</v>
      </c>
      <c r="N49" s="482">
        <f t="shared" si="51"/>
        <v>40</v>
      </c>
      <c r="O49" s="482">
        <f t="shared" si="52"/>
        <v>0</v>
      </c>
      <c r="P49" s="482">
        <f t="shared" si="52"/>
        <v>40</v>
      </c>
      <c r="Q49" s="482">
        <f t="shared" si="52"/>
        <v>0</v>
      </c>
      <c r="R49" s="482">
        <f t="shared" si="52"/>
        <v>0</v>
      </c>
      <c r="S49" s="482">
        <f>Y49+AE49+AK49+AQ49+AX49</f>
        <v>233</v>
      </c>
      <c r="T49" s="482">
        <f t="shared" ref="T49:AX49" si="53">SUM(T51:T52)</f>
        <v>50</v>
      </c>
      <c r="U49" s="482">
        <f t="shared" si="53"/>
        <v>0</v>
      </c>
      <c r="V49" s="482">
        <f t="shared" si="53"/>
        <v>12</v>
      </c>
      <c r="W49" s="482">
        <f t="shared" si="53"/>
        <v>0</v>
      </c>
      <c r="X49" s="482">
        <f t="shared" si="53"/>
        <v>0</v>
      </c>
      <c r="Y49" s="482">
        <f t="shared" si="53"/>
        <v>38</v>
      </c>
      <c r="Z49" s="482">
        <f t="shared" si="53"/>
        <v>49</v>
      </c>
      <c r="AA49" s="482">
        <f t="shared" si="53"/>
        <v>0</v>
      </c>
      <c r="AB49" s="482">
        <f t="shared" si="53"/>
        <v>12</v>
      </c>
      <c r="AC49" s="482">
        <f t="shared" si="53"/>
        <v>0</v>
      </c>
      <c r="AD49" s="482">
        <f t="shared" si="53"/>
        <v>0</v>
      </c>
      <c r="AE49" s="482">
        <f t="shared" si="53"/>
        <v>37</v>
      </c>
      <c r="AF49" s="482">
        <f t="shared" si="53"/>
        <v>0</v>
      </c>
      <c r="AG49" s="482">
        <f t="shared" si="53"/>
        <v>0</v>
      </c>
      <c r="AH49" s="482">
        <f t="shared" si="53"/>
        <v>0</v>
      </c>
      <c r="AI49" s="482">
        <f t="shared" si="53"/>
        <v>0</v>
      </c>
      <c r="AJ49" s="482">
        <f t="shared" si="53"/>
        <v>0</v>
      </c>
      <c r="AK49" s="482">
        <f t="shared" si="53"/>
        <v>0</v>
      </c>
      <c r="AL49" s="482">
        <f t="shared" si="53"/>
        <v>174</v>
      </c>
      <c r="AM49" s="482">
        <f t="shared" si="53"/>
        <v>0</v>
      </c>
      <c r="AN49" s="482">
        <f t="shared" si="53"/>
        <v>16</v>
      </c>
      <c r="AO49" s="482">
        <f t="shared" si="53"/>
        <v>0</v>
      </c>
      <c r="AP49" s="482">
        <f t="shared" si="53"/>
        <v>0</v>
      </c>
      <c r="AQ49" s="482">
        <f t="shared" si="53"/>
        <v>158</v>
      </c>
      <c r="AR49" s="482">
        <f t="shared" si="53"/>
        <v>0</v>
      </c>
      <c r="AS49" s="482">
        <f t="shared" si="53"/>
        <v>0</v>
      </c>
      <c r="AT49" s="482">
        <f t="shared" si="53"/>
        <v>0</v>
      </c>
      <c r="AU49" s="482">
        <f t="shared" si="53"/>
        <v>0</v>
      </c>
      <c r="AV49" s="482">
        <f t="shared" si="53"/>
        <v>0</v>
      </c>
      <c r="AW49" s="482">
        <f t="shared" si="53"/>
        <v>0</v>
      </c>
      <c r="AX49" s="482">
        <f t="shared" si="53"/>
        <v>0</v>
      </c>
      <c r="AY49" s="505">
        <f>'Учебный план (очная)'!CD66</f>
        <v>0</v>
      </c>
      <c r="AZ49" s="505" t="str">
        <f>'Учебный план (очная)'!CE66</f>
        <v>ОК 1-10; ПК 3.1-3.7</v>
      </c>
    </row>
    <row r="50" spans="1:52" s="213" customFormat="1" ht="26.1" customHeight="1" x14ac:dyDescent="0.2">
      <c r="A50" s="563" t="str">
        <f>'Учебный план (очная)'!A67</f>
        <v>МДК.03.01</v>
      </c>
      <c r="B50" s="768" t="str">
        <f>'Учебный план (очная)'!B67</f>
        <v>Безопасность жизнедеятельности на судне и транспортная безопасность</v>
      </c>
      <c r="C50" s="769"/>
      <c r="D50" s="769"/>
      <c r="E50" s="769"/>
      <c r="F50" s="769"/>
      <c r="G50" s="769"/>
      <c r="H50" s="770"/>
      <c r="I50" s="564"/>
      <c r="J50" s="56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509"/>
      <c r="AZ50" s="509"/>
    </row>
    <row r="51" spans="1:52" s="177" customFormat="1" ht="26.1" customHeight="1" x14ac:dyDescent="0.2">
      <c r="A51" s="542">
        <f>'Учебный план (очная)'!A68</f>
        <v>0</v>
      </c>
      <c r="B51" s="542" t="str">
        <f>'Учебный план (очная)'!B68</f>
        <v>Безопасность жизнедеятельности на судне и транспортная безопасность</v>
      </c>
      <c r="C51" s="542">
        <f>'Учебный план (очная)'!C68</f>
        <v>0</v>
      </c>
      <c r="D51" s="144">
        <f>'Учебный план (очная)'!D68</f>
        <v>0</v>
      </c>
      <c r="E51" s="144"/>
      <c r="F51" s="456">
        <v>2.4</v>
      </c>
      <c r="G51" s="144">
        <f>'Учебный план (очная)'!G68</f>
        <v>0</v>
      </c>
      <c r="H51" s="456">
        <v>1</v>
      </c>
      <c r="I51" s="139">
        <f t="shared" ref="I51" si="54">K51-M51</f>
        <v>0</v>
      </c>
      <c r="J51" s="537">
        <f>L51*$J$3</f>
        <v>54.6</v>
      </c>
      <c r="K51" s="551">
        <f>'Учебный план (очная)'!K68</f>
        <v>273</v>
      </c>
      <c r="L51" s="551">
        <f>'Учебный план (очная)'!L68</f>
        <v>182</v>
      </c>
      <c r="M51" s="138">
        <f t="shared" si="13"/>
        <v>273</v>
      </c>
      <c r="N51" s="138">
        <f t="shared" si="51"/>
        <v>40</v>
      </c>
      <c r="O51" s="138">
        <f t="shared" ref="O51:O65" si="55">U51+AA51+AG51+AM51+AS51</f>
        <v>0</v>
      </c>
      <c r="P51" s="138">
        <f t="shared" ref="P51:P65" si="56">V51+AB51+AH51+AN51+AT51</f>
        <v>40</v>
      </c>
      <c r="Q51" s="138">
        <f t="shared" ref="Q51:Q65" si="57">W51+AC51+AI51+AO51+AU51</f>
        <v>0</v>
      </c>
      <c r="R51" s="138">
        <f t="shared" ref="R51:R65" si="58">X51+AD51+AJ51+AP51+AV51</f>
        <v>0</v>
      </c>
      <c r="S51" s="138">
        <f t="shared" ref="S51:S65" si="59">Y51+AE51+AK51+AQ51+AX51</f>
        <v>233</v>
      </c>
      <c r="T51" s="237">
        <f>SUM(U51:Y51)</f>
        <v>50</v>
      </c>
      <c r="U51" s="139"/>
      <c r="V51" s="139">
        <v>12</v>
      </c>
      <c r="W51" s="139"/>
      <c r="X51" s="139"/>
      <c r="Y51" s="139">
        <v>38</v>
      </c>
      <c r="Z51" s="237">
        <f>SUM(AA51:AE51)</f>
        <v>49</v>
      </c>
      <c r="AA51" s="139"/>
      <c r="AB51" s="139">
        <v>12</v>
      </c>
      <c r="AC51" s="139"/>
      <c r="AD51" s="139"/>
      <c r="AE51" s="139">
        <v>37</v>
      </c>
      <c r="AF51" s="237">
        <f>SUM(AG51:AK51)</f>
        <v>0</v>
      </c>
      <c r="AG51" s="139"/>
      <c r="AH51" s="139"/>
      <c r="AI51" s="139"/>
      <c r="AJ51" s="139"/>
      <c r="AK51" s="139"/>
      <c r="AL51" s="237">
        <f>SUM(AM51:AQ51)</f>
        <v>174</v>
      </c>
      <c r="AM51" s="139"/>
      <c r="AN51" s="139">
        <v>16</v>
      </c>
      <c r="AO51" s="139"/>
      <c r="AP51" s="139"/>
      <c r="AQ51" s="139">
        <v>158</v>
      </c>
      <c r="AR51" s="237">
        <f>SUM(AS51:AX51)</f>
        <v>0</v>
      </c>
      <c r="AS51" s="139"/>
      <c r="AT51" s="139"/>
      <c r="AU51" s="139"/>
      <c r="AV51" s="139"/>
      <c r="AW51" s="139"/>
      <c r="AX51" s="139"/>
      <c r="AY51" s="135" t="str">
        <f>'Учебный план (очная)'!CD68</f>
        <v>28</v>
      </c>
      <c r="AZ51" s="135" t="str">
        <f>'Учебный план (очная)'!CE68</f>
        <v>ОК 1-10; ПК 3.1-3.7</v>
      </c>
    </row>
    <row r="52" spans="1:52" s="177" customFormat="1" ht="26.1" customHeight="1" x14ac:dyDescent="0.2">
      <c r="A52" s="543" t="str">
        <f>'Учебный план (очная)'!A69</f>
        <v>Экзамен квалификационный</v>
      </c>
      <c r="B52" s="549"/>
      <c r="C52" s="549"/>
      <c r="D52" s="357" t="s">
        <v>39</v>
      </c>
      <c r="E52" s="357"/>
      <c r="F52" s="357"/>
      <c r="G52" s="357"/>
      <c r="H52" s="357"/>
      <c r="I52" s="357"/>
      <c r="J52" s="550"/>
      <c r="K52" s="481">
        <f>'Учебный план (очная)'!K69</f>
        <v>0</v>
      </c>
      <c r="L52" s="481">
        <f>'Учебный план (очная)'!L69</f>
        <v>0</v>
      </c>
      <c r="M52" s="481">
        <f t="shared" si="13"/>
        <v>0</v>
      </c>
      <c r="N52" s="481">
        <f t="shared" si="51"/>
        <v>0</v>
      </c>
      <c r="O52" s="481">
        <f t="shared" si="55"/>
        <v>0</v>
      </c>
      <c r="P52" s="481">
        <f t="shared" si="56"/>
        <v>0</v>
      </c>
      <c r="Q52" s="481">
        <f t="shared" si="57"/>
        <v>0</v>
      </c>
      <c r="R52" s="481">
        <f t="shared" si="58"/>
        <v>0</v>
      </c>
      <c r="S52" s="481">
        <f t="shared" si="59"/>
        <v>0</v>
      </c>
      <c r="T52" s="481"/>
      <c r="U52" s="510"/>
      <c r="V52" s="510"/>
      <c r="W52" s="510"/>
      <c r="X52" s="510"/>
      <c r="Y52" s="510"/>
      <c r="Z52" s="481"/>
      <c r="AA52" s="510"/>
      <c r="AB52" s="510"/>
      <c r="AC52" s="510"/>
      <c r="AD52" s="510"/>
      <c r="AE52" s="510"/>
      <c r="AF52" s="481"/>
      <c r="AG52" s="510"/>
      <c r="AH52" s="510"/>
      <c r="AI52" s="510"/>
      <c r="AJ52" s="510"/>
      <c r="AK52" s="510"/>
      <c r="AL52" s="481"/>
      <c r="AM52" s="510"/>
      <c r="AN52" s="510"/>
      <c r="AO52" s="510"/>
      <c r="AP52" s="510"/>
      <c r="AQ52" s="510"/>
      <c r="AR52" s="481"/>
      <c r="AS52" s="510"/>
      <c r="AT52" s="510"/>
      <c r="AU52" s="510"/>
      <c r="AV52" s="510"/>
      <c r="AW52" s="510"/>
      <c r="AX52" s="510"/>
      <c r="AY52" s="357"/>
      <c r="AZ52" s="546"/>
    </row>
    <row r="53" spans="1:52" s="177" customFormat="1" ht="26.1" customHeight="1" x14ac:dyDescent="0.2">
      <c r="A53" s="565" t="str">
        <f>'Учебный план (очная)'!A70</f>
        <v>ПМ.04</v>
      </c>
      <c r="B53" s="647" t="str">
        <f>'Учебный план (очная)'!B70:H70</f>
        <v>Выполнение работ по одной или нескольким профессиям рабочих, должностям служащих</v>
      </c>
      <c r="C53" s="647"/>
      <c r="D53" s="647"/>
      <c r="E53" s="647"/>
      <c r="F53" s="647"/>
      <c r="G53" s="647"/>
      <c r="H53" s="647"/>
      <c r="I53" s="566"/>
      <c r="J53" s="567"/>
      <c r="K53" s="482">
        <f>'Учебный план (очная)'!K70</f>
        <v>96</v>
      </c>
      <c r="L53" s="482">
        <f>'Учебный план (очная)'!L70</f>
        <v>64</v>
      </c>
      <c r="M53" s="482">
        <f t="shared" si="13"/>
        <v>96</v>
      </c>
      <c r="N53" s="482">
        <f t="shared" si="51"/>
        <v>18</v>
      </c>
      <c r="O53" s="482">
        <f t="shared" si="55"/>
        <v>14</v>
      </c>
      <c r="P53" s="482">
        <f t="shared" si="56"/>
        <v>4</v>
      </c>
      <c r="Q53" s="482">
        <f t="shared" si="57"/>
        <v>0</v>
      </c>
      <c r="R53" s="482">
        <f t="shared" si="58"/>
        <v>0</v>
      </c>
      <c r="S53" s="482">
        <f t="shared" si="59"/>
        <v>78</v>
      </c>
      <c r="T53" s="503">
        <f t="shared" ref="T53:Y53" si="60">SUM(T54:T56)</f>
        <v>0</v>
      </c>
      <c r="U53" s="503">
        <f t="shared" si="60"/>
        <v>0</v>
      </c>
      <c r="V53" s="503">
        <f t="shared" si="60"/>
        <v>0</v>
      </c>
      <c r="W53" s="503">
        <f t="shared" si="60"/>
        <v>0</v>
      </c>
      <c r="X53" s="503">
        <f t="shared" si="60"/>
        <v>0</v>
      </c>
      <c r="Y53" s="503">
        <f t="shared" si="60"/>
        <v>0</v>
      </c>
      <c r="Z53" s="503">
        <f t="shared" ref="Z53:AQ53" si="61">SUM(Z54:Z56)</f>
        <v>96</v>
      </c>
      <c r="AA53" s="503">
        <f t="shared" si="61"/>
        <v>14</v>
      </c>
      <c r="AB53" s="503">
        <f t="shared" si="61"/>
        <v>4</v>
      </c>
      <c r="AC53" s="503">
        <f t="shared" si="61"/>
        <v>0</v>
      </c>
      <c r="AD53" s="503">
        <f t="shared" si="61"/>
        <v>0</v>
      </c>
      <c r="AE53" s="503">
        <f t="shared" si="61"/>
        <v>78</v>
      </c>
      <c r="AF53" s="503">
        <f t="shared" si="61"/>
        <v>0</v>
      </c>
      <c r="AG53" s="503">
        <f t="shared" si="61"/>
        <v>0</v>
      </c>
      <c r="AH53" s="503">
        <f t="shared" si="61"/>
        <v>0</v>
      </c>
      <c r="AI53" s="503">
        <f t="shared" si="61"/>
        <v>0</v>
      </c>
      <c r="AJ53" s="503">
        <f t="shared" si="61"/>
        <v>0</v>
      </c>
      <c r="AK53" s="503">
        <f t="shared" si="61"/>
        <v>0</v>
      </c>
      <c r="AL53" s="503">
        <f t="shared" si="61"/>
        <v>0</v>
      </c>
      <c r="AM53" s="503">
        <f t="shared" si="61"/>
        <v>0</v>
      </c>
      <c r="AN53" s="503">
        <f t="shared" si="61"/>
        <v>0</v>
      </c>
      <c r="AO53" s="503">
        <f t="shared" si="61"/>
        <v>0</v>
      </c>
      <c r="AP53" s="503">
        <f t="shared" si="61"/>
        <v>0</v>
      </c>
      <c r="AQ53" s="503">
        <f t="shared" si="61"/>
        <v>0</v>
      </c>
      <c r="AR53" s="503">
        <f t="shared" ref="AR53:AX53" si="62">SUM(AR54:AR56)</f>
        <v>0</v>
      </c>
      <c r="AS53" s="503">
        <f t="shared" si="62"/>
        <v>0</v>
      </c>
      <c r="AT53" s="503">
        <f t="shared" si="62"/>
        <v>0</v>
      </c>
      <c r="AU53" s="503">
        <f t="shared" si="62"/>
        <v>0</v>
      </c>
      <c r="AV53" s="503">
        <f t="shared" si="62"/>
        <v>0</v>
      </c>
      <c r="AW53" s="503">
        <f t="shared" si="62"/>
        <v>0</v>
      </c>
      <c r="AX53" s="503">
        <f t="shared" si="62"/>
        <v>0</v>
      </c>
      <c r="AY53" s="505">
        <f>'Учебный план (очная)'!CD70</f>
        <v>0</v>
      </c>
      <c r="AZ53" s="505">
        <f>'Учебный план (очная)'!CE70</f>
        <v>0</v>
      </c>
    </row>
    <row r="54" spans="1:52" s="177" customFormat="1" ht="26.1" customHeight="1" x14ac:dyDescent="0.2">
      <c r="A54" s="542">
        <f>'Учебный план (очная)'!A71</f>
        <v>0</v>
      </c>
      <c r="B54" s="542" t="str">
        <f>'Учебный план (очная)'!B71</f>
        <v>Моторист (машинист)</v>
      </c>
      <c r="C54" s="134"/>
      <c r="D54" s="135"/>
      <c r="E54" s="135" t="s">
        <v>30</v>
      </c>
      <c r="F54" s="135"/>
      <c r="G54" s="135"/>
      <c r="H54" s="135"/>
      <c r="I54" s="139">
        <f t="shared" ref="I54:I56" si="63">K54-M54</f>
        <v>0</v>
      </c>
      <c r="J54" s="537">
        <f t="shared" ref="J54:J56" si="64">L54*$J$3</f>
        <v>19.2</v>
      </c>
      <c r="K54" s="538">
        <f>'Учебный план (очная)'!K71</f>
        <v>96</v>
      </c>
      <c r="L54" s="538">
        <f>'Учебный план (очная)'!L71</f>
        <v>64</v>
      </c>
      <c r="M54" s="138">
        <f t="shared" si="13"/>
        <v>96</v>
      </c>
      <c r="N54" s="138">
        <f t="shared" si="51"/>
        <v>18</v>
      </c>
      <c r="O54" s="138">
        <f t="shared" si="55"/>
        <v>14</v>
      </c>
      <c r="P54" s="138">
        <f t="shared" si="56"/>
        <v>4</v>
      </c>
      <c r="Q54" s="138">
        <f t="shared" si="57"/>
        <v>0</v>
      </c>
      <c r="R54" s="138">
        <f t="shared" si="58"/>
        <v>0</v>
      </c>
      <c r="S54" s="138">
        <f t="shared" si="59"/>
        <v>78</v>
      </c>
      <c r="T54" s="237">
        <f>SUM(U54:Y54)</f>
        <v>0</v>
      </c>
      <c r="U54" s="139"/>
      <c r="V54" s="139"/>
      <c r="W54" s="139"/>
      <c r="X54" s="139"/>
      <c r="Y54" s="139"/>
      <c r="Z54" s="237">
        <f>SUM(AA54:AE54)</f>
        <v>96</v>
      </c>
      <c r="AA54" s="139">
        <v>14</v>
      </c>
      <c r="AB54" s="139">
        <v>4</v>
      </c>
      <c r="AC54" s="139"/>
      <c r="AD54" s="139"/>
      <c r="AE54" s="139">
        <v>78</v>
      </c>
      <c r="AF54" s="237">
        <f>SUM(AG54:AK54)</f>
        <v>0</v>
      </c>
      <c r="AG54" s="139"/>
      <c r="AH54" s="139"/>
      <c r="AI54" s="139"/>
      <c r="AJ54" s="139"/>
      <c r="AK54" s="139"/>
      <c r="AL54" s="237">
        <f>SUM(AM54:AQ54)</f>
        <v>0</v>
      </c>
      <c r="AM54" s="139"/>
      <c r="AN54" s="139"/>
      <c r="AO54" s="139"/>
      <c r="AP54" s="139"/>
      <c r="AQ54" s="139"/>
      <c r="AR54" s="237">
        <f>SUM(AS54:AX54)</f>
        <v>0</v>
      </c>
      <c r="AS54" s="139"/>
      <c r="AT54" s="139"/>
      <c r="AU54" s="139"/>
      <c r="AV54" s="139"/>
      <c r="AW54" s="139"/>
      <c r="AX54" s="139"/>
      <c r="AY54" s="135" t="str">
        <f>'Учебный план (очная)'!CD71</f>
        <v>64-5</v>
      </c>
      <c r="AZ54" s="135" t="str">
        <f>'Учебный план (очная)'!CE71</f>
        <v>ОК 1-10; ПК 1.5</v>
      </c>
    </row>
    <row r="55" spans="1:52" s="177" customFormat="1" ht="26.1" hidden="1" customHeight="1" x14ac:dyDescent="0.2">
      <c r="A55" s="542">
        <f>'Учебный план (очная)'!A72</f>
        <v>0</v>
      </c>
      <c r="B55" s="542">
        <f>'Учебный план (очная)'!B72</f>
        <v>0</v>
      </c>
      <c r="C55" s="134"/>
      <c r="D55" s="135"/>
      <c r="E55" s="135"/>
      <c r="F55" s="135"/>
      <c r="G55" s="135"/>
      <c r="H55" s="135"/>
      <c r="I55" s="139">
        <f t="shared" si="63"/>
        <v>0</v>
      </c>
      <c r="J55" s="537">
        <f t="shared" si="64"/>
        <v>0</v>
      </c>
      <c r="K55" s="538">
        <f>'Учебный план (очная)'!K72</f>
        <v>0</v>
      </c>
      <c r="L55" s="538">
        <f>'Учебный план (очная)'!L72</f>
        <v>0</v>
      </c>
      <c r="M55" s="138">
        <f t="shared" si="13"/>
        <v>0</v>
      </c>
      <c r="N55" s="138">
        <f t="shared" si="51"/>
        <v>0</v>
      </c>
      <c r="O55" s="138">
        <f t="shared" si="55"/>
        <v>0</v>
      </c>
      <c r="P55" s="138">
        <f t="shared" si="56"/>
        <v>0</v>
      </c>
      <c r="Q55" s="138">
        <f t="shared" si="57"/>
        <v>0</v>
      </c>
      <c r="R55" s="138">
        <f t="shared" si="58"/>
        <v>0</v>
      </c>
      <c r="S55" s="138">
        <f t="shared" si="59"/>
        <v>0</v>
      </c>
      <c r="T55" s="237">
        <f>SUM(U55:Y55)</f>
        <v>0</v>
      </c>
      <c r="U55" s="139"/>
      <c r="V55" s="139"/>
      <c r="W55" s="139"/>
      <c r="X55" s="139"/>
      <c r="Y55" s="139"/>
      <c r="Z55" s="237">
        <f>SUM(AA55:AE55)</f>
        <v>0</v>
      </c>
      <c r="AA55" s="139"/>
      <c r="AB55" s="139"/>
      <c r="AC55" s="139"/>
      <c r="AD55" s="139"/>
      <c r="AE55" s="139"/>
      <c r="AF55" s="237">
        <f>SUM(AG55:AK55)</f>
        <v>0</v>
      </c>
      <c r="AG55" s="139"/>
      <c r="AH55" s="139"/>
      <c r="AI55" s="139"/>
      <c r="AJ55" s="139"/>
      <c r="AK55" s="139"/>
      <c r="AL55" s="237">
        <f>SUM(AM55:AQ55)</f>
        <v>0</v>
      </c>
      <c r="AM55" s="139"/>
      <c r="AN55" s="139"/>
      <c r="AO55" s="139"/>
      <c r="AP55" s="139"/>
      <c r="AQ55" s="139"/>
      <c r="AR55" s="237">
        <f>SUM(AS55:AX55)</f>
        <v>0</v>
      </c>
      <c r="AS55" s="139"/>
      <c r="AT55" s="139"/>
      <c r="AU55" s="139"/>
      <c r="AV55" s="139"/>
      <c r="AW55" s="139"/>
      <c r="AX55" s="139"/>
      <c r="AY55" s="135" t="str">
        <f>'Учебный план (очная)'!CD72</f>
        <v>64-5</v>
      </c>
      <c r="AZ55" s="135" t="str">
        <f>'Учебный план (очная)'!CE72</f>
        <v>ОК 3,4,7; ПК 3.1 - 3.7</v>
      </c>
    </row>
    <row r="56" spans="1:52" s="177" customFormat="1" ht="26.1" hidden="1" customHeight="1" x14ac:dyDescent="0.2">
      <c r="A56" s="542">
        <f>'Учебный план (очная)'!A73</f>
        <v>0</v>
      </c>
      <c r="B56" s="542">
        <f>'Учебный план (очная)'!B73</f>
        <v>0</v>
      </c>
      <c r="C56" s="134"/>
      <c r="D56" s="135"/>
      <c r="E56" s="135"/>
      <c r="F56" s="135"/>
      <c r="G56" s="135"/>
      <c r="H56" s="135"/>
      <c r="I56" s="139">
        <f t="shared" si="63"/>
        <v>0</v>
      </c>
      <c r="J56" s="537">
        <f t="shared" si="64"/>
        <v>0</v>
      </c>
      <c r="K56" s="538">
        <f>'Учебный план (очная)'!K73</f>
        <v>0</v>
      </c>
      <c r="L56" s="538">
        <f>'Учебный план (очная)'!L73</f>
        <v>0</v>
      </c>
      <c r="M56" s="138">
        <f t="shared" si="13"/>
        <v>0</v>
      </c>
      <c r="N56" s="138">
        <f t="shared" si="51"/>
        <v>0</v>
      </c>
      <c r="O56" s="138">
        <f t="shared" si="55"/>
        <v>0</v>
      </c>
      <c r="P56" s="138">
        <f t="shared" si="56"/>
        <v>0</v>
      </c>
      <c r="Q56" s="138">
        <f t="shared" si="57"/>
        <v>0</v>
      </c>
      <c r="R56" s="138">
        <f t="shared" si="58"/>
        <v>0</v>
      </c>
      <c r="S56" s="138">
        <f t="shared" si="59"/>
        <v>0</v>
      </c>
      <c r="T56" s="237">
        <f>SUM(U56:Y56)</f>
        <v>0</v>
      </c>
      <c r="U56" s="139"/>
      <c r="V56" s="139"/>
      <c r="W56" s="139"/>
      <c r="X56" s="139"/>
      <c r="Y56" s="139"/>
      <c r="Z56" s="237">
        <f>SUM(AA56:AE56)</f>
        <v>0</v>
      </c>
      <c r="AA56" s="139"/>
      <c r="AB56" s="139"/>
      <c r="AC56" s="139"/>
      <c r="AD56" s="139"/>
      <c r="AE56" s="139"/>
      <c r="AF56" s="237">
        <f>SUM(AG56:AK56)</f>
        <v>0</v>
      </c>
      <c r="AG56" s="139"/>
      <c r="AH56" s="139"/>
      <c r="AI56" s="139"/>
      <c r="AJ56" s="139"/>
      <c r="AK56" s="139"/>
      <c r="AL56" s="237">
        <f>SUM(AM56:AQ56)</f>
        <v>0</v>
      </c>
      <c r="AM56" s="139"/>
      <c r="AN56" s="139"/>
      <c r="AO56" s="139"/>
      <c r="AP56" s="139"/>
      <c r="AQ56" s="139"/>
      <c r="AR56" s="237">
        <f>SUM(AS56:AX56)</f>
        <v>0</v>
      </c>
      <c r="AS56" s="139"/>
      <c r="AT56" s="139"/>
      <c r="AU56" s="139"/>
      <c r="AV56" s="139"/>
      <c r="AW56" s="139"/>
      <c r="AX56" s="139"/>
      <c r="AY56" s="135" t="str">
        <f>'Учебный план (очная)'!CD73</f>
        <v>64-4</v>
      </c>
      <c r="AZ56" s="135" t="str">
        <f>'Учебный план (очная)'!CE73</f>
        <v>ОК 3,4,7; ПК 3.1 - 3.7</v>
      </c>
    </row>
    <row r="57" spans="1:52" s="177" customFormat="1" ht="26.1" customHeight="1" x14ac:dyDescent="0.2">
      <c r="A57" s="543" t="str">
        <f>'Учебный план (очная)'!A75</f>
        <v>Экзамен квалификационный</v>
      </c>
      <c r="B57" s="549"/>
      <c r="C57" s="549"/>
      <c r="D57" s="357" t="s">
        <v>29</v>
      </c>
      <c r="E57" s="357"/>
      <c r="F57" s="357"/>
      <c r="G57" s="357"/>
      <c r="H57" s="357"/>
      <c r="I57" s="357"/>
      <c r="J57" s="550"/>
      <c r="K57" s="481">
        <f>'Учебный план (очная)'!K74</f>
        <v>0</v>
      </c>
      <c r="L57" s="481">
        <f>'Учебный план (очная)'!L74</f>
        <v>0</v>
      </c>
      <c r="M57" s="481">
        <f t="shared" si="13"/>
        <v>0</v>
      </c>
      <c r="N57" s="481">
        <f t="shared" si="51"/>
        <v>0</v>
      </c>
      <c r="O57" s="481">
        <f t="shared" si="55"/>
        <v>0</v>
      </c>
      <c r="P57" s="481">
        <f t="shared" si="56"/>
        <v>0</v>
      </c>
      <c r="Q57" s="481">
        <f t="shared" si="57"/>
        <v>0</v>
      </c>
      <c r="R57" s="481">
        <f t="shared" si="58"/>
        <v>0</v>
      </c>
      <c r="S57" s="481">
        <f t="shared" si="59"/>
        <v>0</v>
      </c>
      <c r="T57" s="481"/>
      <c r="U57" s="510"/>
      <c r="V57" s="510"/>
      <c r="W57" s="510"/>
      <c r="X57" s="510"/>
      <c r="Y57" s="510"/>
      <c r="Z57" s="481"/>
      <c r="AA57" s="510"/>
      <c r="AB57" s="510"/>
      <c r="AC57" s="510"/>
      <c r="AD57" s="510"/>
      <c r="AE57" s="510"/>
      <c r="AF57" s="481"/>
      <c r="AG57" s="510"/>
      <c r="AH57" s="510"/>
      <c r="AI57" s="510"/>
      <c r="AJ57" s="510"/>
      <c r="AK57" s="510"/>
      <c r="AL57" s="481"/>
      <c r="AM57" s="510"/>
      <c r="AN57" s="510"/>
      <c r="AO57" s="510"/>
      <c r="AP57" s="510"/>
      <c r="AQ57" s="510"/>
      <c r="AR57" s="481"/>
      <c r="AS57" s="510"/>
      <c r="AT57" s="510"/>
      <c r="AU57" s="510"/>
      <c r="AV57" s="510"/>
      <c r="AW57" s="510"/>
      <c r="AX57" s="510"/>
      <c r="AY57" s="357"/>
      <c r="AZ57" s="546"/>
    </row>
    <row r="58" spans="1:52" s="294" customFormat="1" ht="26.1" customHeight="1" x14ac:dyDescent="0.2">
      <c r="A58" s="547">
        <f>'Учебный план (очная)'!A76</f>
        <v>0</v>
      </c>
      <c r="B58" s="840" t="str">
        <f>'Учебный план (очная)'!B76</f>
        <v>Вариативная часть циклов ППССЗ</v>
      </c>
      <c r="C58" s="840"/>
      <c r="D58" s="496" t="s">
        <v>26</v>
      </c>
      <c r="E58" s="496"/>
      <c r="F58" s="496"/>
      <c r="G58" s="496"/>
      <c r="H58" s="496"/>
      <c r="I58" s="496"/>
      <c r="J58" s="496"/>
      <c r="K58" s="480">
        <f>'Учебный план (очная)'!K76</f>
        <v>518</v>
      </c>
      <c r="L58" s="480">
        <f>'Учебный план (очная)'!L76</f>
        <v>345</v>
      </c>
      <c r="M58" s="480">
        <f t="shared" si="13"/>
        <v>518</v>
      </c>
      <c r="N58" s="480">
        <f t="shared" si="51"/>
        <v>100</v>
      </c>
      <c r="O58" s="480">
        <f t="shared" si="55"/>
        <v>92</v>
      </c>
      <c r="P58" s="480">
        <f t="shared" si="56"/>
        <v>8</v>
      </c>
      <c r="Q58" s="480">
        <f t="shared" si="57"/>
        <v>0</v>
      </c>
      <c r="R58" s="480">
        <f t="shared" si="58"/>
        <v>0</v>
      </c>
      <c r="S58" s="480">
        <f t="shared" si="59"/>
        <v>418</v>
      </c>
      <c r="T58" s="480">
        <f t="shared" ref="T58:AX58" si="65">SUM(T59:T64)</f>
        <v>108</v>
      </c>
      <c r="U58" s="480">
        <f t="shared" si="65"/>
        <v>12</v>
      </c>
      <c r="V58" s="480">
        <f t="shared" si="65"/>
        <v>8</v>
      </c>
      <c r="W58" s="480">
        <f t="shared" si="65"/>
        <v>0</v>
      </c>
      <c r="X58" s="480">
        <f t="shared" si="65"/>
        <v>0</v>
      </c>
      <c r="Y58" s="480">
        <f t="shared" si="65"/>
        <v>88</v>
      </c>
      <c r="Z58" s="480">
        <f t="shared" si="65"/>
        <v>157</v>
      </c>
      <c r="AA58" s="480">
        <f t="shared" si="65"/>
        <v>30</v>
      </c>
      <c r="AB58" s="480">
        <f t="shared" si="65"/>
        <v>0</v>
      </c>
      <c r="AC58" s="480">
        <f t="shared" si="65"/>
        <v>0</v>
      </c>
      <c r="AD58" s="480">
        <f t="shared" si="65"/>
        <v>0</v>
      </c>
      <c r="AE58" s="480">
        <f t="shared" si="65"/>
        <v>127</v>
      </c>
      <c r="AF58" s="480">
        <f t="shared" si="65"/>
        <v>0</v>
      </c>
      <c r="AG58" s="480">
        <f t="shared" si="65"/>
        <v>0</v>
      </c>
      <c r="AH58" s="480">
        <f t="shared" si="65"/>
        <v>0</v>
      </c>
      <c r="AI58" s="480">
        <f t="shared" si="65"/>
        <v>0</v>
      </c>
      <c r="AJ58" s="480">
        <f t="shared" si="65"/>
        <v>0</v>
      </c>
      <c r="AK58" s="480">
        <f t="shared" si="65"/>
        <v>0</v>
      </c>
      <c r="AL58" s="480">
        <f t="shared" si="65"/>
        <v>253</v>
      </c>
      <c r="AM58" s="480">
        <f t="shared" si="65"/>
        <v>50</v>
      </c>
      <c r="AN58" s="480">
        <f t="shared" si="65"/>
        <v>0</v>
      </c>
      <c r="AO58" s="480">
        <f t="shared" si="65"/>
        <v>0</v>
      </c>
      <c r="AP58" s="480">
        <f t="shared" si="65"/>
        <v>0</v>
      </c>
      <c r="AQ58" s="480">
        <f t="shared" si="65"/>
        <v>203</v>
      </c>
      <c r="AR58" s="480">
        <f t="shared" si="65"/>
        <v>0</v>
      </c>
      <c r="AS58" s="480">
        <f t="shared" si="65"/>
        <v>0</v>
      </c>
      <c r="AT58" s="480">
        <f t="shared" si="65"/>
        <v>0</v>
      </c>
      <c r="AU58" s="480">
        <f t="shared" si="65"/>
        <v>0</v>
      </c>
      <c r="AV58" s="480">
        <f t="shared" si="65"/>
        <v>0</v>
      </c>
      <c r="AW58" s="480">
        <f t="shared" si="65"/>
        <v>0</v>
      </c>
      <c r="AX58" s="480">
        <f t="shared" si="65"/>
        <v>0</v>
      </c>
      <c r="AY58" s="552">
        <f>'Учебный план (очная)'!CD76</f>
        <v>0</v>
      </c>
      <c r="AZ58" s="552">
        <f>'Учебный план (очная)'!CE76</f>
        <v>0</v>
      </c>
    </row>
    <row r="59" spans="1:52" s="213" customFormat="1" ht="26.1" customHeight="1" x14ac:dyDescent="0.2">
      <c r="A59" s="542" t="str">
        <f>'Учебный план (очная)'!A77</f>
        <v>ВЧ.01</v>
      </c>
      <c r="B59" s="542" t="str">
        <f>'Учебный план (очная)'!B77</f>
        <v>Деловой английский язык</v>
      </c>
      <c r="C59" s="134"/>
      <c r="D59" s="135"/>
      <c r="E59" s="135" t="s">
        <v>39</v>
      </c>
      <c r="F59" s="135"/>
      <c r="G59" s="135"/>
      <c r="H59" s="421" t="s">
        <v>39</v>
      </c>
      <c r="I59" s="139">
        <f t="shared" ref="I59:I62" si="66">K59-M59</f>
        <v>0</v>
      </c>
      <c r="J59" s="537">
        <f t="shared" ref="J59:J62" si="67">L59*$J$3</f>
        <v>11.4</v>
      </c>
      <c r="K59" s="538">
        <f>'Учебный план (очная)'!K77</f>
        <v>56</v>
      </c>
      <c r="L59" s="538">
        <f>'Учебный план (очная)'!L77</f>
        <v>38</v>
      </c>
      <c r="M59" s="138">
        <f t="shared" si="13"/>
        <v>56</v>
      </c>
      <c r="N59" s="138">
        <f t="shared" si="51"/>
        <v>10</v>
      </c>
      <c r="O59" s="138">
        <f t="shared" si="55"/>
        <v>10</v>
      </c>
      <c r="P59" s="138">
        <f t="shared" si="56"/>
        <v>0</v>
      </c>
      <c r="Q59" s="138">
        <f t="shared" si="57"/>
        <v>0</v>
      </c>
      <c r="R59" s="138">
        <f t="shared" si="58"/>
        <v>0</v>
      </c>
      <c r="S59" s="138">
        <f t="shared" si="59"/>
        <v>46</v>
      </c>
      <c r="T59" s="237">
        <f t="shared" ref="T59:T64" si="68">SUM(U59:Y59)</f>
        <v>0</v>
      </c>
      <c r="U59" s="139"/>
      <c r="V59" s="139"/>
      <c r="W59" s="139"/>
      <c r="X59" s="139"/>
      <c r="Y59" s="139"/>
      <c r="Z59" s="237">
        <f t="shared" ref="Z59:Z64" si="69">SUM(AA59:AE59)</f>
        <v>0</v>
      </c>
      <c r="AA59" s="139"/>
      <c r="AB59" s="139"/>
      <c r="AC59" s="139"/>
      <c r="AD59" s="139"/>
      <c r="AE59" s="139"/>
      <c r="AF59" s="237">
        <f t="shared" ref="AF59:AF64" si="70">SUM(AG59:AK59)</f>
        <v>0</v>
      </c>
      <c r="AG59" s="139"/>
      <c r="AH59" s="139"/>
      <c r="AI59" s="139"/>
      <c r="AJ59" s="139"/>
      <c r="AK59" s="139"/>
      <c r="AL59" s="237">
        <f t="shared" ref="AL59:AL64" si="71">SUM(AM59:AQ59)</f>
        <v>56</v>
      </c>
      <c r="AM59" s="139">
        <v>10</v>
      </c>
      <c r="AN59" s="139"/>
      <c r="AO59" s="139"/>
      <c r="AP59" s="139"/>
      <c r="AQ59" s="139">
        <v>46</v>
      </c>
      <c r="AR59" s="237">
        <f>SUM(AS59:AX59)</f>
        <v>0</v>
      </c>
      <c r="AS59" s="139"/>
      <c r="AT59" s="139"/>
      <c r="AU59" s="139"/>
      <c r="AV59" s="139"/>
      <c r="AW59" s="139"/>
      <c r="AX59" s="139"/>
      <c r="AY59" s="135" t="str">
        <f>'Учебный план (очная)'!CD77</f>
        <v>64-1</v>
      </c>
      <c r="AZ59" s="135" t="str">
        <f>'Учебный план (очная)'!CE77</f>
        <v>ОК 4,10</v>
      </c>
    </row>
    <row r="60" spans="1:52" s="213" customFormat="1" ht="26.1" customHeight="1" x14ac:dyDescent="0.2">
      <c r="A60" s="542" t="str">
        <f>'Учебный план (очная)'!A78</f>
        <v>ВЧ.02</v>
      </c>
      <c r="B60" s="542" t="str">
        <f>'Учебный план (очная)'!B78</f>
        <v>Теоретические основы электротехники</v>
      </c>
      <c r="C60" s="134"/>
      <c r="D60" s="135" t="s">
        <v>27</v>
      </c>
      <c r="E60" s="135"/>
      <c r="F60" s="135"/>
      <c r="G60" s="135"/>
      <c r="H60" s="135"/>
      <c r="I60" s="139">
        <f t="shared" si="66"/>
        <v>0</v>
      </c>
      <c r="J60" s="537">
        <f>L60*$J$3</f>
        <v>20.399999999999999</v>
      </c>
      <c r="K60" s="538">
        <f>'Учебный план (очная)'!K78</f>
        <v>108</v>
      </c>
      <c r="L60" s="538">
        <f>'Учебный план (очная)'!L78</f>
        <v>68</v>
      </c>
      <c r="M60" s="138">
        <f t="shared" si="13"/>
        <v>108</v>
      </c>
      <c r="N60" s="138">
        <f t="shared" si="51"/>
        <v>20</v>
      </c>
      <c r="O60" s="138">
        <f t="shared" si="55"/>
        <v>12</v>
      </c>
      <c r="P60" s="138">
        <f t="shared" si="56"/>
        <v>8</v>
      </c>
      <c r="Q60" s="138">
        <f t="shared" si="57"/>
        <v>0</v>
      </c>
      <c r="R60" s="138">
        <f t="shared" si="58"/>
        <v>0</v>
      </c>
      <c r="S60" s="138">
        <f t="shared" si="59"/>
        <v>88</v>
      </c>
      <c r="T60" s="237">
        <f t="shared" si="68"/>
        <v>108</v>
      </c>
      <c r="U60" s="139">
        <v>12</v>
      </c>
      <c r="V60" s="139">
        <v>8</v>
      </c>
      <c r="W60" s="139"/>
      <c r="X60" s="139"/>
      <c r="Y60" s="139">
        <v>88</v>
      </c>
      <c r="Z60" s="237">
        <f t="shared" si="69"/>
        <v>0</v>
      </c>
      <c r="AA60" s="139"/>
      <c r="AB60" s="139"/>
      <c r="AC60" s="139"/>
      <c r="AD60" s="139"/>
      <c r="AE60" s="139"/>
      <c r="AF60" s="237">
        <f t="shared" si="70"/>
        <v>0</v>
      </c>
      <c r="AG60" s="139"/>
      <c r="AH60" s="139"/>
      <c r="AI60" s="139"/>
      <c r="AJ60" s="139"/>
      <c r="AK60" s="139"/>
      <c r="AL60" s="237">
        <f t="shared" si="71"/>
        <v>0</v>
      </c>
      <c r="AM60" s="139"/>
      <c r="AN60" s="139"/>
      <c r="AO60" s="139"/>
      <c r="AP60" s="139"/>
      <c r="AQ60" s="139"/>
      <c r="AR60" s="237">
        <f>SUM(AS60:AX60)</f>
        <v>0</v>
      </c>
      <c r="AS60" s="139"/>
      <c r="AT60" s="139"/>
      <c r="AU60" s="139"/>
      <c r="AV60" s="139"/>
      <c r="AW60" s="139"/>
      <c r="AX60" s="139"/>
      <c r="AY60" s="135" t="str">
        <f>'Учебный план (очная)'!CD78</f>
        <v>64-6</v>
      </c>
      <c r="AZ60" s="135" t="str">
        <f>'Учебный план (очная)'!CE78</f>
        <v xml:space="preserve"> ПК 1.1-1.5</v>
      </c>
    </row>
    <row r="61" spans="1:52" s="213" customFormat="1" ht="26.1" customHeight="1" x14ac:dyDescent="0.2">
      <c r="A61" s="542" t="str">
        <f>'Учебный план (очная)'!A79</f>
        <v>ВЧ.03</v>
      </c>
      <c r="B61" s="542" t="str">
        <f>'Учебный план (очная)'!B79</f>
        <v>Электрооборудование объектов водного транспорта</v>
      </c>
      <c r="C61" s="134"/>
      <c r="D61" s="135"/>
      <c r="E61" s="135" t="s">
        <v>39</v>
      </c>
      <c r="F61" s="135"/>
      <c r="G61" s="135"/>
      <c r="H61" s="421" t="s">
        <v>39</v>
      </c>
      <c r="I61" s="139">
        <f t="shared" si="66"/>
        <v>0</v>
      </c>
      <c r="J61" s="537">
        <f t="shared" si="67"/>
        <v>11.4</v>
      </c>
      <c r="K61" s="538">
        <f>'Учебный план (очная)'!K79</f>
        <v>55</v>
      </c>
      <c r="L61" s="538">
        <f>'Учебный план (очная)'!L79</f>
        <v>38</v>
      </c>
      <c r="M61" s="138">
        <f t="shared" si="13"/>
        <v>55</v>
      </c>
      <c r="N61" s="138">
        <f t="shared" si="51"/>
        <v>10</v>
      </c>
      <c r="O61" s="138">
        <f t="shared" si="55"/>
        <v>10</v>
      </c>
      <c r="P61" s="138">
        <f t="shared" si="56"/>
        <v>0</v>
      </c>
      <c r="Q61" s="138">
        <f t="shared" si="57"/>
        <v>0</v>
      </c>
      <c r="R61" s="138">
        <f t="shared" si="58"/>
        <v>0</v>
      </c>
      <c r="S61" s="138">
        <f t="shared" si="59"/>
        <v>45</v>
      </c>
      <c r="T61" s="237">
        <f t="shared" si="68"/>
        <v>0</v>
      </c>
      <c r="U61" s="139"/>
      <c r="V61" s="139"/>
      <c r="W61" s="139"/>
      <c r="X61" s="139"/>
      <c r="Y61" s="139"/>
      <c r="Z61" s="237">
        <f t="shared" si="69"/>
        <v>0</v>
      </c>
      <c r="AA61" s="139"/>
      <c r="AB61" s="139"/>
      <c r="AC61" s="139"/>
      <c r="AD61" s="139"/>
      <c r="AE61" s="139"/>
      <c r="AF61" s="237">
        <f t="shared" si="70"/>
        <v>0</v>
      </c>
      <c r="AG61" s="139"/>
      <c r="AH61" s="139"/>
      <c r="AI61" s="139"/>
      <c r="AJ61" s="139"/>
      <c r="AK61" s="139"/>
      <c r="AL61" s="237">
        <f t="shared" si="71"/>
        <v>55</v>
      </c>
      <c r="AM61" s="139">
        <v>10</v>
      </c>
      <c r="AN61" s="139"/>
      <c r="AO61" s="139"/>
      <c r="AP61" s="139"/>
      <c r="AQ61" s="139">
        <v>45</v>
      </c>
      <c r="AR61" s="237">
        <f>SUM(AS61:AX61)</f>
        <v>0</v>
      </c>
      <c r="AS61" s="139"/>
      <c r="AT61" s="139"/>
      <c r="AU61" s="139"/>
      <c r="AV61" s="139"/>
      <c r="AW61" s="139"/>
      <c r="AX61" s="139"/>
      <c r="AY61" s="135" t="str">
        <f>'Учебный план (очная)'!CD79</f>
        <v>64-6</v>
      </c>
      <c r="AZ61" s="135" t="str">
        <f>'Учебный план (очная)'!CE79</f>
        <v>ПК 1.1 - 1.5</v>
      </c>
    </row>
    <row r="62" spans="1:52" s="213" customFormat="1" ht="26.1" customHeight="1" x14ac:dyDescent="0.2">
      <c r="A62" s="542" t="str">
        <f>'Учебный план (очная)'!A80</f>
        <v>ВЧ.04</v>
      </c>
      <c r="B62" s="542" t="str">
        <f>'Учебный план (очная)'!B80</f>
        <v>Системы судовой связи и навигации</v>
      </c>
      <c r="C62" s="134"/>
      <c r="D62" s="135"/>
      <c r="E62" s="135" t="s">
        <v>39</v>
      </c>
      <c r="F62" s="135"/>
      <c r="G62" s="135"/>
      <c r="H62" s="579" t="s">
        <v>39</v>
      </c>
      <c r="I62" s="139">
        <f t="shared" si="66"/>
        <v>0</v>
      </c>
      <c r="J62" s="537">
        <f t="shared" si="67"/>
        <v>28.8</v>
      </c>
      <c r="K62" s="538">
        <f>'Учебный план (очная)'!K80</f>
        <v>142</v>
      </c>
      <c r="L62" s="538">
        <f>'Учебный план (очная)'!L80</f>
        <v>96</v>
      </c>
      <c r="M62" s="138">
        <f t="shared" si="13"/>
        <v>142</v>
      </c>
      <c r="N62" s="138">
        <f t="shared" si="51"/>
        <v>30</v>
      </c>
      <c r="O62" s="138">
        <f t="shared" si="55"/>
        <v>30</v>
      </c>
      <c r="P62" s="138">
        <f t="shared" si="56"/>
        <v>0</v>
      </c>
      <c r="Q62" s="138">
        <f t="shared" si="57"/>
        <v>0</v>
      </c>
      <c r="R62" s="138">
        <f t="shared" si="58"/>
        <v>0</v>
      </c>
      <c r="S62" s="138">
        <f t="shared" si="59"/>
        <v>112</v>
      </c>
      <c r="T62" s="237">
        <f t="shared" si="68"/>
        <v>0</v>
      </c>
      <c r="U62" s="139"/>
      <c r="V62" s="139"/>
      <c r="W62" s="139"/>
      <c r="X62" s="139"/>
      <c r="Y62" s="139"/>
      <c r="Z62" s="237">
        <f t="shared" si="69"/>
        <v>0</v>
      </c>
      <c r="AA62" s="139"/>
      <c r="AB62" s="139"/>
      <c r="AC62" s="139"/>
      <c r="AD62" s="139"/>
      <c r="AE62" s="139"/>
      <c r="AF62" s="237">
        <f t="shared" si="70"/>
        <v>0</v>
      </c>
      <c r="AG62" s="139"/>
      <c r="AH62" s="139"/>
      <c r="AI62" s="139"/>
      <c r="AJ62" s="139"/>
      <c r="AK62" s="139"/>
      <c r="AL62" s="237">
        <f t="shared" si="71"/>
        <v>142</v>
      </c>
      <c r="AM62" s="139">
        <v>30</v>
      </c>
      <c r="AN62" s="139"/>
      <c r="AO62" s="139"/>
      <c r="AP62" s="139"/>
      <c r="AQ62" s="139">
        <v>112</v>
      </c>
      <c r="AR62" s="237">
        <f>SUM(AS62:AX62)</f>
        <v>0</v>
      </c>
      <c r="AS62" s="139"/>
      <c r="AT62" s="139"/>
      <c r="AU62" s="139"/>
      <c r="AV62" s="139"/>
      <c r="AW62" s="139"/>
      <c r="AX62" s="139"/>
      <c r="AY62" s="135" t="str">
        <f>'Учебный план (очная)'!CD80</f>
        <v>64-6</v>
      </c>
      <c r="AZ62" s="135" t="str">
        <f>'Учебный план (очная)'!CE80</f>
        <v>ПК 1.1 - 1.5</v>
      </c>
    </row>
    <row r="63" spans="1:52" s="213" customFormat="1" ht="26.1" customHeight="1" x14ac:dyDescent="0.2">
      <c r="A63" s="542" t="str">
        <f>'Учебный план (очная)'!A81</f>
        <v>ВЧ.05</v>
      </c>
      <c r="B63" s="542" t="str">
        <f>'Учебный план (очная)'!B81</f>
        <v>Эксплуатация судна на вспомогательном уровне</v>
      </c>
      <c r="C63" s="134"/>
      <c r="D63" s="135"/>
      <c r="E63" s="135" t="s">
        <v>30</v>
      </c>
      <c r="F63" s="135"/>
      <c r="G63" s="135"/>
      <c r="H63" s="421" t="s">
        <v>30</v>
      </c>
      <c r="I63" s="139">
        <f t="shared" ref="I63:I64" si="72">K63-M63</f>
        <v>0</v>
      </c>
      <c r="J63" s="537">
        <f t="shared" ref="J63:J64" si="73">L63*$J$3</f>
        <v>20.100000000000001</v>
      </c>
      <c r="K63" s="538">
        <f>'Учебный план (очная)'!K81</f>
        <v>102</v>
      </c>
      <c r="L63" s="538">
        <f>'Учебный план (очная)'!L81</f>
        <v>67</v>
      </c>
      <c r="M63" s="138">
        <f t="shared" si="13"/>
        <v>102</v>
      </c>
      <c r="N63" s="138">
        <f t="shared" si="51"/>
        <v>20</v>
      </c>
      <c r="O63" s="138">
        <f t="shared" si="55"/>
        <v>20</v>
      </c>
      <c r="P63" s="138">
        <f t="shared" si="56"/>
        <v>0</v>
      </c>
      <c r="Q63" s="138">
        <f t="shared" si="57"/>
        <v>0</v>
      </c>
      <c r="R63" s="138">
        <f t="shared" si="58"/>
        <v>0</v>
      </c>
      <c r="S63" s="138">
        <f t="shared" si="59"/>
        <v>82</v>
      </c>
      <c r="T63" s="237">
        <f t="shared" si="68"/>
        <v>0</v>
      </c>
      <c r="U63" s="139"/>
      <c r="V63" s="139"/>
      <c r="W63" s="139"/>
      <c r="X63" s="139"/>
      <c r="Y63" s="139"/>
      <c r="Z63" s="237">
        <f t="shared" si="69"/>
        <v>102</v>
      </c>
      <c r="AA63" s="139">
        <v>20</v>
      </c>
      <c r="AB63" s="139"/>
      <c r="AC63" s="139"/>
      <c r="AD63" s="139"/>
      <c r="AE63" s="139">
        <v>82</v>
      </c>
      <c r="AF63" s="237">
        <f t="shared" si="70"/>
        <v>0</v>
      </c>
      <c r="AG63" s="139"/>
      <c r="AH63" s="139"/>
      <c r="AI63" s="139"/>
      <c r="AJ63" s="139"/>
      <c r="AK63" s="139"/>
      <c r="AL63" s="237">
        <f t="shared" si="71"/>
        <v>0</v>
      </c>
      <c r="AM63" s="139"/>
      <c r="AN63" s="139"/>
      <c r="AO63" s="139"/>
      <c r="AP63" s="139"/>
      <c r="AQ63" s="139"/>
      <c r="AR63" s="237"/>
      <c r="AS63" s="139"/>
      <c r="AT63" s="139"/>
      <c r="AU63" s="139"/>
      <c r="AV63" s="139"/>
      <c r="AW63" s="139"/>
      <c r="AX63" s="139"/>
      <c r="AY63" s="135" t="str">
        <f>'Учебный план (очная)'!CD81</f>
        <v>64-4</v>
      </c>
      <c r="AZ63" s="135" t="str">
        <f>'Учебный план (очная)'!CE81</f>
        <v>ОК 3,4,7; ПК 3.1 - 3.7</v>
      </c>
    </row>
    <row r="64" spans="1:52" s="213" customFormat="1" ht="26.1" customHeight="1" x14ac:dyDescent="0.2">
      <c r="A64" s="542" t="str">
        <f>'Учебный план (очная)'!A82</f>
        <v>ВЧ.06</v>
      </c>
      <c r="B64" s="542" t="str">
        <f>'Учебный план (очная)'!B82</f>
        <v>Охрана труда</v>
      </c>
      <c r="C64" s="134"/>
      <c r="D64" s="135"/>
      <c r="E64" s="135" t="s">
        <v>30</v>
      </c>
      <c r="F64" s="135"/>
      <c r="G64" s="135"/>
      <c r="H64" s="421" t="s">
        <v>30</v>
      </c>
      <c r="I64" s="139">
        <f t="shared" si="72"/>
        <v>0</v>
      </c>
      <c r="J64" s="537">
        <f t="shared" si="73"/>
        <v>11.4</v>
      </c>
      <c r="K64" s="538">
        <f>'Учебный план (очная)'!K82</f>
        <v>55</v>
      </c>
      <c r="L64" s="538">
        <f>'Учебный план (очная)'!L82</f>
        <v>38</v>
      </c>
      <c r="M64" s="138">
        <f t="shared" si="13"/>
        <v>55</v>
      </c>
      <c r="N64" s="138">
        <f t="shared" si="51"/>
        <v>10</v>
      </c>
      <c r="O64" s="138">
        <f t="shared" si="55"/>
        <v>10</v>
      </c>
      <c r="P64" s="138">
        <f t="shared" si="56"/>
        <v>0</v>
      </c>
      <c r="Q64" s="138">
        <f t="shared" si="57"/>
        <v>0</v>
      </c>
      <c r="R64" s="138">
        <f t="shared" si="58"/>
        <v>0</v>
      </c>
      <c r="S64" s="138">
        <f t="shared" si="59"/>
        <v>45</v>
      </c>
      <c r="T64" s="237">
        <f t="shared" si="68"/>
        <v>0</v>
      </c>
      <c r="U64" s="139"/>
      <c r="V64" s="139"/>
      <c r="W64" s="139"/>
      <c r="X64" s="139"/>
      <c r="Y64" s="139"/>
      <c r="Z64" s="237">
        <f t="shared" si="69"/>
        <v>55</v>
      </c>
      <c r="AA64" s="139">
        <v>10</v>
      </c>
      <c r="AB64" s="139"/>
      <c r="AC64" s="139"/>
      <c r="AD64" s="139"/>
      <c r="AE64" s="139">
        <v>45</v>
      </c>
      <c r="AF64" s="237">
        <f t="shared" si="70"/>
        <v>0</v>
      </c>
      <c r="AG64" s="139"/>
      <c r="AH64" s="139"/>
      <c r="AI64" s="139"/>
      <c r="AJ64" s="139"/>
      <c r="AK64" s="139"/>
      <c r="AL64" s="237">
        <f t="shared" si="71"/>
        <v>0</v>
      </c>
      <c r="AM64" s="139"/>
      <c r="AN64" s="139"/>
      <c r="AO64" s="139"/>
      <c r="AP64" s="139"/>
      <c r="AQ64" s="139"/>
      <c r="AR64" s="237"/>
      <c r="AS64" s="139"/>
      <c r="AT64" s="139"/>
      <c r="AU64" s="139"/>
      <c r="AV64" s="139"/>
      <c r="AW64" s="139"/>
      <c r="AX64" s="139"/>
      <c r="AY64" s="135" t="str">
        <f>'Учебный план (очная)'!CD82</f>
        <v>64-6</v>
      </c>
      <c r="AZ64" s="135" t="str">
        <f>'Учебный план (очная)'!CE82</f>
        <v>ОК 1-10; ПК 1.1-1.5,  3.1-3.7</v>
      </c>
    </row>
    <row r="65" spans="1:52" s="294" customFormat="1" ht="26.1" customHeight="1" x14ac:dyDescent="0.2">
      <c r="A65" s="547"/>
      <c r="B65" s="840" t="str">
        <f>'Учебный план (очная)'!B83:C83</f>
        <v>Учебная практика</v>
      </c>
      <c r="C65" s="840"/>
      <c r="D65" s="496"/>
      <c r="E65" s="570" t="s">
        <v>30</v>
      </c>
      <c r="F65" s="496"/>
      <c r="G65" s="496"/>
      <c r="H65" s="496"/>
      <c r="I65" s="496"/>
      <c r="J65" s="496"/>
      <c r="K65" s="480"/>
      <c r="L65" s="480">
        <f>'Учебный план (очная)'!L83</f>
        <v>576</v>
      </c>
      <c r="M65" s="480">
        <f t="shared" si="13"/>
        <v>576</v>
      </c>
      <c r="N65" s="480">
        <f t="shared" si="51"/>
        <v>576</v>
      </c>
      <c r="O65" s="480">
        <f t="shared" si="55"/>
        <v>0</v>
      </c>
      <c r="P65" s="480">
        <f t="shared" si="56"/>
        <v>0</v>
      </c>
      <c r="Q65" s="480">
        <f t="shared" si="57"/>
        <v>0</v>
      </c>
      <c r="R65" s="480">
        <f t="shared" si="58"/>
        <v>576</v>
      </c>
      <c r="S65" s="480">
        <f t="shared" si="59"/>
        <v>0</v>
      </c>
      <c r="T65" s="480"/>
      <c r="U65" s="480">
        <f>'Учебный план (очная)'!M83</f>
        <v>0</v>
      </c>
      <c r="V65" s="480">
        <f>'Учебный план (очная)'!N83</f>
        <v>0</v>
      </c>
      <c r="W65" s="480">
        <f>'Учебный план (очная)'!O83</f>
        <v>0</v>
      </c>
      <c r="X65" s="480"/>
      <c r="Y65" s="480">
        <f>'Учебный план (очная)'!Q83</f>
        <v>0</v>
      </c>
      <c r="Z65" s="480">
        <v>576</v>
      </c>
      <c r="AA65" s="480">
        <f t="shared" ref="Z65:AE66" si="74">SUM(AA66:AA67)</f>
        <v>0</v>
      </c>
      <c r="AB65" s="480">
        <f t="shared" si="74"/>
        <v>0</v>
      </c>
      <c r="AC65" s="480">
        <f t="shared" si="74"/>
        <v>0</v>
      </c>
      <c r="AD65" s="480">
        <v>576</v>
      </c>
      <c r="AE65" s="480">
        <f t="shared" si="74"/>
        <v>0</v>
      </c>
      <c r="AF65" s="480"/>
      <c r="AG65" s="480">
        <f t="shared" ref="AG65:AI66" si="75">SUM(AG66:AG67)</f>
        <v>0</v>
      </c>
      <c r="AH65" s="480">
        <f t="shared" si="75"/>
        <v>0</v>
      </c>
      <c r="AI65" s="480">
        <f t="shared" si="75"/>
        <v>0</v>
      </c>
      <c r="AJ65" s="480"/>
      <c r="AK65" s="480"/>
      <c r="AL65" s="480"/>
      <c r="AM65" s="480">
        <f t="shared" ref="AM65:AO66" si="76">SUM(AM66:AM67)</f>
        <v>0</v>
      </c>
      <c r="AN65" s="480">
        <f t="shared" si="76"/>
        <v>0</v>
      </c>
      <c r="AO65" s="480">
        <f t="shared" si="76"/>
        <v>0</v>
      </c>
      <c r="AP65" s="480"/>
      <c r="AQ65" s="480"/>
      <c r="AR65" s="480"/>
      <c r="AS65" s="480"/>
      <c r="AT65" s="480"/>
      <c r="AU65" s="480"/>
      <c r="AV65" s="480"/>
      <c r="AW65" s="480"/>
      <c r="AX65" s="480"/>
      <c r="AY65" s="552" t="str">
        <f>'Учебный план (очная)'!CD82</f>
        <v>64-6</v>
      </c>
      <c r="AZ65" s="552" t="str">
        <f>'Учебный план (очная)'!CE82</f>
        <v>ОК 1-10; ПК 1.1-1.5,  3.1-3.7</v>
      </c>
    </row>
    <row r="66" spans="1:52" s="294" customFormat="1" ht="26.1" customHeight="1" x14ac:dyDescent="0.2">
      <c r="A66" s="547"/>
      <c r="B66" s="840" t="s">
        <v>130</v>
      </c>
      <c r="C66" s="840"/>
      <c r="D66" s="496"/>
      <c r="E66" s="570" t="s">
        <v>546</v>
      </c>
      <c r="F66" s="496"/>
      <c r="G66" s="496"/>
      <c r="H66" s="496"/>
      <c r="I66" s="496"/>
      <c r="J66" s="496"/>
      <c r="K66" s="480"/>
      <c r="L66" s="480">
        <f>'Учебный план (очная)'!L91</f>
        <v>1296</v>
      </c>
      <c r="M66" s="480">
        <f t="shared" si="13"/>
        <v>1296</v>
      </c>
      <c r="N66" s="480">
        <f t="shared" si="51"/>
        <v>1296</v>
      </c>
      <c r="O66" s="480">
        <f t="shared" ref="O66:R67" si="77">AA66+AG66+AM66+AS66</f>
        <v>0</v>
      </c>
      <c r="P66" s="480">
        <f t="shared" si="77"/>
        <v>0</v>
      </c>
      <c r="Q66" s="480">
        <f t="shared" si="77"/>
        <v>0</v>
      </c>
      <c r="R66" s="480">
        <f t="shared" si="77"/>
        <v>1296</v>
      </c>
      <c r="S66" s="480">
        <f>AE66+AK66+AQ66+AX66</f>
        <v>0</v>
      </c>
      <c r="T66" s="480">
        <f t="shared" ref="T66:Y66" si="78">SUM(T67:T68)</f>
        <v>0</v>
      </c>
      <c r="U66" s="480">
        <f t="shared" si="78"/>
        <v>0</v>
      </c>
      <c r="V66" s="480">
        <f t="shared" si="78"/>
        <v>0</v>
      </c>
      <c r="W66" s="480">
        <f t="shared" si="78"/>
        <v>0</v>
      </c>
      <c r="X66" s="480">
        <f t="shared" si="78"/>
        <v>0</v>
      </c>
      <c r="Y66" s="480">
        <f t="shared" si="78"/>
        <v>0</v>
      </c>
      <c r="Z66" s="480">
        <f t="shared" si="74"/>
        <v>0</v>
      </c>
      <c r="AA66" s="480">
        <f t="shared" si="74"/>
        <v>0</v>
      </c>
      <c r="AB66" s="480">
        <f t="shared" si="74"/>
        <v>0</v>
      </c>
      <c r="AC66" s="480">
        <f t="shared" si="74"/>
        <v>0</v>
      </c>
      <c r="AD66" s="480">
        <f t="shared" si="74"/>
        <v>0</v>
      </c>
      <c r="AE66" s="480">
        <f t="shared" si="74"/>
        <v>0</v>
      </c>
      <c r="AF66" s="480">
        <f>SUM(AF67:AF68)</f>
        <v>900</v>
      </c>
      <c r="AG66" s="480">
        <f t="shared" si="75"/>
        <v>0</v>
      </c>
      <c r="AH66" s="480">
        <f t="shared" si="75"/>
        <v>0</v>
      </c>
      <c r="AI66" s="480">
        <f t="shared" si="75"/>
        <v>0</v>
      </c>
      <c r="AJ66" s="480">
        <f>SUM(AJ67:AJ68)</f>
        <v>900</v>
      </c>
      <c r="AK66" s="480">
        <f>SUM(AK67:AK68)</f>
        <v>0</v>
      </c>
      <c r="AL66" s="480">
        <f>SUM(AL67:AL68)</f>
        <v>396</v>
      </c>
      <c r="AM66" s="480">
        <f t="shared" si="76"/>
        <v>0</v>
      </c>
      <c r="AN66" s="480">
        <f t="shared" si="76"/>
        <v>0</v>
      </c>
      <c r="AO66" s="480">
        <f t="shared" si="76"/>
        <v>0</v>
      </c>
      <c r="AP66" s="480">
        <f>SUM(AP67:AP68)</f>
        <v>396</v>
      </c>
      <c r="AQ66" s="480">
        <f>SUM(AQ67:AQ68)</f>
        <v>0</v>
      </c>
      <c r="AR66" s="480"/>
      <c r="AS66" s="480"/>
      <c r="AT66" s="480"/>
      <c r="AU66" s="480"/>
      <c r="AV66" s="480"/>
      <c r="AW66" s="480"/>
      <c r="AX66" s="480"/>
      <c r="AY66" s="552" t="str">
        <f>'Учебный план (очная)'!CD83</f>
        <v>64-6</v>
      </c>
      <c r="AZ66" s="552" t="str">
        <f>'Учебный план (очная)'!CE83</f>
        <v xml:space="preserve">ОК 1-10, ПК1.1-1.5, ПК 3.1-3.7 </v>
      </c>
    </row>
    <row r="67" spans="1:52" s="213" customFormat="1" ht="26.1" customHeight="1" x14ac:dyDescent="0.2">
      <c r="A67" s="542" t="str">
        <f>'Учебный план (очная)'!A92</f>
        <v>ПП.01</v>
      </c>
      <c r="B67" s="542" t="str">
        <f>'Учебный план (очная)'!B92</f>
        <v>Производственная практика (практика по профилю специальности)</v>
      </c>
      <c r="C67" s="359"/>
      <c r="D67" s="135"/>
      <c r="E67" s="421" t="s">
        <v>29</v>
      </c>
      <c r="F67" s="135"/>
      <c r="G67" s="135"/>
      <c r="H67" s="135"/>
      <c r="I67" s="135"/>
      <c r="J67" s="553"/>
      <c r="K67" s="538"/>
      <c r="L67" s="538">
        <f>'Учебный план (очная)'!L92</f>
        <v>1152</v>
      </c>
      <c r="M67" s="138">
        <f t="shared" si="13"/>
        <v>1152</v>
      </c>
      <c r="N67" s="138">
        <f t="shared" si="51"/>
        <v>1152</v>
      </c>
      <c r="O67" s="138">
        <f t="shared" si="77"/>
        <v>0</v>
      </c>
      <c r="P67" s="138">
        <f t="shared" si="77"/>
        <v>0</v>
      </c>
      <c r="Q67" s="138">
        <f t="shared" si="77"/>
        <v>0</v>
      </c>
      <c r="R67" s="138">
        <f t="shared" si="77"/>
        <v>1152</v>
      </c>
      <c r="S67" s="138">
        <f>AE67+AK67+AQ67+AX67</f>
        <v>0</v>
      </c>
      <c r="T67" s="237">
        <f>SUM(U67:Y67)</f>
        <v>0</v>
      </c>
      <c r="U67" s="139"/>
      <c r="V67" s="139"/>
      <c r="W67" s="139"/>
      <c r="X67" s="139"/>
      <c r="Y67" s="139"/>
      <c r="Z67" s="237">
        <f>SUM(AA67:AE67)</f>
        <v>0</v>
      </c>
      <c r="AA67" s="139"/>
      <c r="AB67" s="139"/>
      <c r="AC67" s="139"/>
      <c r="AD67" s="139"/>
      <c r="AE67" s="139"/>
      <c r="AF67" s="237">
        <f>SUM(AG67:AK67)</f>
        <v>900</v>
      </c>
      <c r="AG67" s="139"/>
      <c r="AH67" s="139"/>
      <c r="AI67" s="139"/>
      <c r="AJ67" s="139">
        <v>900</v>
      </c>
      <c r="AK67" s="139"/>
      <c r="AL67" s="237">
        <f>SUM(AM67:AQ67)</f>
        <v>252</v>
      </c>
      <c r="AM67" s="139"/>
      <c r="AN67" s="139"/>
      <c r="AO67" s="139"/>
      <c r="AP67" s="139">
        <v>252</v>
      </c>
      <c r="AQ67" s="139"/>
      <c r="AR67" s="237">
        <f>SUM(AS67:AX67)</f>
        <v>0</v>
      </c>
      <c r="AS67" s="139"/>
      <c r="AT67" s="139"/>
      <c r="AU67" s="139"/>
      <c r="AV67" s="139"/>
      <c r="AW67" s="139"/>
      <c r="AX67" s="139"/>
      <c r="AY67" s="499" t="str">
        <f>'Учебный план (очная)'!CD92</f>
        <v>64-6</v>
      </c>
      <c r="AZ67" s="499" t="str">
        <f>'Учебный план (очная)'!CE92</f>
        <v xml:space="preserve">ОК 1-10, ПК1.1-1.5, ПК2.1- 2.3, ПК3.1-3.7 </v>
      </c>
    </row>
    <row r="68" spans="1:52" s="213" customFormat="1" ht="26.1" customHeight="1" x14ac:dyDescent="0.2">
      <c r="A68" s="542" t="str">
        <f>'Учебный план (очная)'!A93</f>
        <v>ПП 02</v>
      </c>
      <c r="B68" s="542" t="str">
        <f>'Учебный план (очная)'!B93</f>
        <v>Преддипломная практика</v>
      </c>
      <c r="C68" s="359"/>
      <c r="D68" s="135"/>
      <c r="E68" s="421" t="s">
        <v>546</v>
      </c>
      <c r="F68" s="135"/>
      <c r="G68" s="135"/>
      <c r="H68" s="135"/>
      <c r="I68" s="135"/>
      <c r="J68" s="553"/>
      <c r="K68" s="538"/>
      <c r="L68" s="538">
        <f>'Учебный план (очная)'!L93</f>
        <v>144</v>
      </c>
      <c r="M68" s="138">
        <f t="shared" si="13"/>
        <v>0</v>
      </c>
      <c r="N68" s="138"/>
      <c r="O68" s="138"/>
      <c r="P68" s="138"/>
      <c r="Q68" s="138"/>
      <c r="R68" s="138"/>
      <c r="S68" s="138"/>
      <c r="T68" s="237"/>
      <c r="U68" s="139"/>
      <c r="V68" s="139"/>
      <c r="W68" s="139"/>
      <c r="X68" s="139"/>
      <c r="Y68" s="139"/>
      <c r="Z68" s="237"/>
      <c r="AA68" s="139"/>
      <c r="AB68" s="139"/>
      <c r="AC68" s="139"/>
      <c r="AD68" s="139"/>
      <c r="AE68" s="139"/>
      <c r="AF68" s="237"/>
      <c r="AG68" s="139"/>
      <c r="AH68" s="139"/>
      <c r="AI68" s="139"/>
      <c r="AJ68" s="139"/>
      <c r="AK68" s="139"/>
      <c r="AL68" s="237">
        <f>SUM(AM68:AQ68)</f>
        <v>144</v>
      </c>
      <c r="AM68" s="139"/>
      <c r="AN68" s="139"/>
      <c r="AO68" s="139"/>
      <c r="AP68" s="139">
        <v>144</v>
      </c>
      <c r="AQ68" s="139"/>
      <c r="AR68" s="237"/>
      <c r="AS68" s="139"/>
      <c r="AT68" s="139"/>
      <c r="AU68" s="139"/>
      <c r="AV68" s="139"/>
      <c r="AW68" s="139"/>
      <c r="AX68" s="139"/>
      <c r="AY68" s="499" t="str">
        <f>'Учебный план (очная)'!CD93</f>
        <v>64-6</v>
      </c>
      <c r="AZ68" s="499" t="str">
        <f>'Учебный план (очная)'!CE93</f>
        <v xml:space="preserve">ОК 1-10, ПК1.1-1.5, ПК2.1- 2.3, ПК3.1-3.7 </v>
      </c>
    </row>
    <row r="69" spans="1:52" s="294" customFormat="1" ht="26.1" customHeight="1" x14ac:dyDescent="0.2">
      <c r="A69" s="547" t="str">
        <f>'Учебный план (очная)'!A94</f>
        <v>ГИА.00</v>
      </c>
      <c r="B69" s="843" t="str">
        <f>'Учебный план (очная)'!B94:C94</f>
        <v>Государственная итоговая аттестация</v>
      </c>
      <c r="C69" s="844"/>
      <c r="D69" s="844"/>
      <c r="E69" s="844"/>
      <c r="F69" s="844"/>
      <c r="G69" s="844"/>
      <c r="H69" s="845"/>
      <c r="I69" s="496"/>
      <c r="J69" s="496"/>
      <c r="K69" s="480">
        <f>'Учебный план (очная)'!K94</f>
        <v>216</v>
      </c>
      <c r="L69" s="480">
        <f>'Учебный план (очная)'!L94</f>
        <v>0</v>
      </c>
      <c r="M69" s="480">
        <f t="shared" si="13"/>
        <v>216</v>
      </c>
      <c r="N69" s="480">
        <f>SUM(O69:R69)</f>
        <v>0</v>
      </c>
      <c r="O69" s="480">
        <f t="shared" ref="O69:R71" si="79">AA69+AG69+AM69+AS69</f>
        <v>0</v>
      </c>
      <c r="P69" s="480">
        <f t="shared" si="79"/>
        <v>0</v>
      </c>
      <c r="Q69" s="480">
        <f t="shared" si="79"/>
        <v>0</v>
      </c>
      <c r="R69" s="480">
        <f t="shared" si="79"/>
        <v>0</v>
      </c>
      <c r="S69" s="480">
        <f>AE69+AK69+AQ69+AX69</f>
        <v>216</v>
      </c>
      <c r="T69" s="480">
        <f t="shared" ref="T69:Y69" si="80">SUM(T70:T71)</f>
        <v>0</v>
      </c>
      <c r="U69" s="480">
        <f t="shared" si="80"/>
        <v>0</v>
      </c>
      <c r="V69" s="480">
        <f t="shared" si="80"/>
        <v>0</v>
      </c>
      <c r="W69" s="480">
        <f t="shared" si="80"/>
        <v>0</v>
      </c>
      <c r="X69" s="480">
        <f t="shared" si="80"/>
        <v>0</v>
      </c>
      <c r="Y69" s="480">
        <f t="shared" si="80"/>
        <v>0</v>
      </c>
      <c r="Z69" s="480">
        <f t="shared" ref="Z69:AE69" si="81">SUM(Z70:Z71)</f>
        <v>0</v>
      </c>
      <c r="AA69" s="480">
        <f t="shared" si="81"/>
        <v>0</v>
      </c>
      <c r="AB69" s="480">
        <f t="shared" si="81"/>
        <v>0</v>
      </c>
      <c r="AC69" s="480">
        <f t="shared" si="81"/>
        <v>0</v>
      </c>
      <c r="AD69" s="480">
        <f t="shared" si="81"/>
        <v>0</v>
      </c>
      <c r="AE69" s="480">
        <f t="shared" si="81"/>
        <v>0</v>
      </c>
      <c r="AF69" s="480">
        <f t="shared" ref="AF69:AK69" si="82">SUM(AF70:AF71)</f>
        <v>0</v>
      </c>
      <c r="AG69" s="480">
        <f t="shared" si="82"/>
        <v>0</v>
      </c>
      <c r="AH69" s="480">
        <f t="shared" si="82"/>
        <v>0</v>
      </c>
      <c r="AI69" s="480">
        <f t="shared" si="82"/>
        <v>0</v>
      </c>
      <c r="AJ69" s="480">
        <f t="shared" si="82"/>
        <v>0</v>
      </c>
      <c r="AK69" s="480">
        <f t="shared" si="82"/>
        <v>0</v>
      </c>
      <c r="AL69" s="480">
        <f t="shared" ref="AL69:AQ69" si="83">SUM(AL70:AL71)</f>
        <v>216</v>
      </c>
      <c r="AM69" s="480">
        <f t="shared" si="83"/>
        <v>0</v>
      </c>
      <c r="AN69" s="480">
        <f t="shared" si="83"/>
        <v>0</v>
      </c>
      <c r="AO69" s="480">
        <f t="shared" si="83"/>
        <v>0</v>
      </c>
      <c r="AP69" s="480">
        <f t="shared" si="83"/>
        <v>0</v>
      </c>
      <c r="AQ69" s="480">
        <f t="shared" si="83"/>
        <v>216</v>
      </c>
      <c r="AR69" s="480">
        <f t="shared" ref="AR69:AX69" si="84">SUM(AR70:AR71)</f>
        <v>0</v>
      </c>
      <c r="AS69" s="480">
        <f t="shared" si="84"/>
        <v>0</v>
      </c>
      <c r="AT69" s="480">
        <f t="shared" si="84"/>
        <v>0</v>
      </c>
      <c r="AU69" s="480">
        <f t="shared" si="84"/>
        <v>0</v>
      </c>
      <c r="AV69" s="480">
        <f t="shared" si="84"/>
        <v>0</v>
      </c>
      <c r="AW69" s="480">
        <f t="shared" si="84"/>
        <v>0</v>
      </c>
      <c r="AX69" s="480">
        <f t="shared" si="84"/>
        <v>0</v>
      </c>
      <c r="AY69" s="552">
        <f>'Учебный план (очная)'!CD94</f>
        <v>0</v>
      </c>
      <c r="AZ69" s="552">
        <f>'Учебный план (очная)'!CE94</f>
        <v>0</v>
      </c>
    </row>
    <row r="70" spans="1:52" s="214" customFormat="1" ht="25.5" hidden="1" x14ac:dyDescent="0.2">
      <c r="A70" s="554" t="str">
        <f>'Учебный план (очная)'!A95</f>
        <v>ГИА.01</v>
      </c>
      <c r="B70" s="542" t="str">
        <f>'Учебный план (очная)'!B95</f>
        <v>Подготовка ВКР</v>
      </c>
      <c r="C70" s="542"/>
      <c r="D70" s="513"/>
      <c r="E70" s="513"/>
      <c r="F70" s="513"/>
      <c r="G70" s="513"/>
      <c r="H70" s="513"/>
      <c r="I70" s="513"/>
      <c r="J70" s="513"/>
      <c r="K70" s="538">
        <f>'Учебный план (очная)'!K95</f>
        <v>216</v>
      </c>
      <c r="L70" s="538">
        <f>'Учебный план (очная)'!L95</f>
        <v>0</v>
      </c>
      <c r="M70" s="138">
        <f t="shared" si="13"/>
        <v>216</v>
      </c>
      <c r="N70" s="138">
        <f>SUM(O70:R70)</f>
        <v>0</v>
      </c>
      <c r="O70" s="138">
        <f t="shared" si="79"/>
        <v>0</v>
      </c>
      <c r="P70" s="138">
        <f t="shared" si="79"/>
        <v>0</v>
      </c>
      <c r="Q70" s="138">
        <f t="shared" si="79"/>
        <v>0</v>
      </c>
      <c r="R70" s="138">
        <f t="shared" si="79"/>
        <v>0</v>
      </c>
      <c r="S70" s="138">
        <f>AE70+AK70+AQ70+AX70</f>
        <v>216</v>
      </c>
      <c r="T70" s="237">
        <f>SUM(U70:Y70)</f>
        <v>0</v>
      </c>
      <c r="U70" s="157"/>
      <c r="V70" s="157"/>
      <c r="W70" s="157"/>
      <c r="X70" s="157"/>
      <c r="Y70" s="157"/>
      <c r="Z70" s="237">
        <f>SUM(AA70:AE70)</f>
        <v>0</v>
      </c>
      <c r="AA70" s="157"/>
      <c r="AB70" s="157"/>
      <c r="AC70" s="157"/>
      <c r="AD70" s="157"/>
      <c r="AE70" s="157"/>
      <c r="AF70" s="237">
        <f>SUM(AG70:AK70)</f>
        <v>0</v>
      </c>
      <c r="AG70" s="157"/>
      <c r="AH70" s="157"/>
      <c r="AI70" s="157"/>
      <c r="AJ70" s="157"/>
      <c r="AK70" s="157"/>
      <c r="AL70" s="237">
        <f>SUM(AM70:AQ70)</f>
        <v>216</v>
      </c>
      <c r="AM70" s="157"/>
      <c r="AN70" s="157"/>
      <c r="AO70" s="157"/>
      <c r="AP70" s="157"/>
      <c r="AQ70" s="157">
        <v>216</v>
      </c>
      <c r="AR70" s="237">
        <f>SUM(AS70:AX70)</f>
        <v>0</v>
      </c>
      <c r="AS70" s="157"/>
      <c r="AT70" s="157"/>
      <c r="AU70" s="157"/>
      <c r="AV70" s="157"/>
      <c r="AW70" s="157"/>
      <c r="AX70" s="157"/>
      <c r="AY70" s="499" t="str">
        <f>'Учебный план (очная)'!CD95</f>
        <v>64-5</v>
      </c>
      <c r="AZ70" s="499" t="str">
        <f>'Учебный план (очная)'!CE95</f>
        <v xml:space="preserve">ОК 1-10, ПК1.1-1.5, ПК2.1- 2.3, ПК3.1-3.7 </v>
      </c>
    </row>
    <row r="71" spans="1:52" s="214" customFormat="1" ht="25.5" hidden="1" x14ac:dyDescent="0.2">
      <c r="A71" s="554" t="str">
        <f>'Учебный план (очная)'!A96</f>
        <v>ГИА.02</v>
      </c>
      <c r="B71" s="542" t="str">
        <f>'Учебный план (очная)'!B96</f>
        <v>Защита ВКР</v>
      </c>
      <c r="C71" s="542"/>
      <c r="D71" s="513"/>
      <c r="E71" s="513"/>
      <c r="F71" s="513"/>
      <c r="G71" s="513"/>
      <c r="H71" s="513"/>
      <c r="I71" s="513"/>
      <c r="J71" s="513"/>
      <c r="K71" s="538">
        <f>'Учебный план (очная)'!K96</f>
        <v>0</v>
      </c>
      <c r="L71" s="329">
        <f>'Учебный план (очная)'!L96</f>
        <v>0</v>
      </c>
      <c r="M71" s="138">
        <f t="shared" si="13"/>
        <v>0</v>
      </c>
      <c r="N71" s="138">
        <f>SUM(O71:R71)</f>
        <v>0</v>
      </c>
      <c r="O71" s="138">
        <f t="shared" si="79"/>
        <v>0</v>
      </c>
      <c r="P71" s="138">
        <f t="shared" si="79"/>
        <v>0</v>
      </c>
      <c r="Q71" s="138">
        <f t="shared" si="79"/>
        <v>0</v>
      </c>
      <c r="R71" s="138">
        <f t="shared" si="79"/>
        <v>0</v>
      </c>
      <c r="S71" s="138">
        <f>AE71+AK71+AQ71+AX71</f>
        <v>0</v>
      </c>
      <c r="T71" s="237">
        <f>SUM(U71:Y71)</f>
        <v>0</v>
      </c>
      <c r="U71" s="157"/>
      <c r="V71" s="157"/>
      <c r="W71" s="157"/>
      <c r="X71" s="157"/>
      <c r="Y71" s="157"/>
      <c r="Z71" s="237">
        <f>SUM(AA71:AE71)</f>
        <v>0</v>
      </c>
      <c r="AA71" s="157"/>
      <c r="AB71" s="157"/>
      <c r="AC71" s="157"/>
      <c r="AD71" s="157"/>
      <c r="AE71" s="157"/>
      <c r="AF71" s="237">
        <f>SUM(AG71:AK71)</f>
        <v>0</v>
      </c>
      <c r="AG71" s="157"/>
      <c r="AH71" s="157"/>
      <c r="AI71" s="157"/>
      <c r="AJ71" s="157"/>
      <c r="AK71" s="157"/>
      <c r="AL71" s="237">
        <f>SUM(AM71:AQ71)</f>
        <v>0</v>
      </c>
      <c r="AM71" s="157"/>
      <c r="AN71" s="157"/>
      <c r="AO71" s="157"/>
      <c r="AP71" s="157"/>
      <c r="AQ71" s="157"/>
      <c r="AR71" s="237">
        <f>SUM(AS71:AX71)</f>
        <v>0</v>
      </c>
      <c r="AS71" s="157"/>
      <c r="AT71" s="157"/>
      <c r="AU71" s="157"/>
      <c r="AV71" s="157"/>
      <c r="AW71" s="157">
        <v>0</v>
      </c>
      <c r="AX71" s="157"/>
      <c r="AY71" s="499" t="str">
        <f>'Учебный план (очная)'!CD96</f>
        <v>64-5</v>
      </c>
      <c r="AZ71" s="499" t="str">
        <f>'Учебный план (очная)'!CE96</f>
        <v xml:space="preserve">ОК 1-10, ПК1.1-1.5, ПК2.1- 2.3, ПК3.1-3.7 </v>
      </c>
    </row>
    <row r="72" spans="1:52" s="214" customFormat="1" ht="13.5" hidden="1" thickBot="1" x14ac:dyDescent="0.25">
      <c r="A72" s="522"/>
      <c r="B72" s="523" t="s">
        <v>174</v>
      </c>
      <c r="C72" s="524"/>
      <c r="D72" s="525"/>
      <c r="E72" s="525"/>
      <c r="F72" s="525"/>
      <c r="G72" s="525"/>
      <c r="H72" s="526"/>
      <c r="I72" s="527"/>
      <c r="J72" s="527"/>
      <c r="K72" s="517"/>
      <c r="L72" s="518"/>
      <c r="M72" s="528" t="e">
        <f t="shared" si="13"/>
        <v>#VALUE!</v>
      </c>
      <c r="N72" s="529" t="s">
        <v>26</v>
      </c>
      <c r="O72" s="529"/>
      <c r="P72" s="529"/>
      <c r="Q72" s="529"/>
      <c r="R72" s="529"/>
      <c r="S72" s="530"/>
      <c r="T72" s="531">
        <f>SUM(U72:Y72)</f>
        <v>0</v>
      </c>
      <c r="U72" s="532"/>
      <c r="V72" s="532"/>
      <c r="W72" s="532"/>
      <c r="X72" s="532"/>
      <c r="Y72" s="530"/>
      <c r="Z72" s="531">
        <f>SUM(AA72:AE72)</f>
        <v>0</v>
      </c>
      <c r="AA72" s="532"/>
      <c r="AB72" s="532"/>
      <c r="AC72" s="532"/>
      <c r="AD72" s="532"/>
      <c r="AE72" s="530"/>
      <c r="AF72" s="531">
        <f>SUM(AG72:AK72)</f>
        <v>0</v>
      </c>
      <c r="AG72" s="532"/>
      <c r="AH72" s="532"/>
      <c r="AI72" s="532"/>
      <c r="AJ72" s="532"/>
      <c r="AK72" s="530"/>
      <c r="AL72" s="531">
        <f>SUM(AM72:AQ72)</f>
        <v>0</v>
      </c>
      <c r="AM72" s="532"/>
      <c r="AN72" s="532"/>
      <c r="AO72" s="532"/>
      <c r="AP72" s="532"/>
      <c r="AQ72" s="530"/>
      <c r="AR72" s="531">
        <f>SUM(AS72:AX72)</f>
        <v>0</v>
      </c>
      <c r="AS72" s="532"/>
      <c r="AT72" s="532"/>
      <c r="AU72" s="532"/>
      <c r="AV72" s="532"/>
      <c r="AW72" s="532"/>
      <c r="AX72" s="533" t="s">
        <v>26</v>
      </c>
      <c r="AY72" s="534"/>
      <c r="AZ72" s="534"/>
    </row>
    <row r="73" spans="1:52" hidden="1" x14ac:dyDescent="0.2">
      <c r="A73" s="262"/>
      <c r="B73" s="263"/>
      <c r="C73" s="263"/>
      <c r="D73" s="264"/>
      <c r="E73" s="264"/>
      <c r="F73" s="264"/>
      <c r="G73" s="264"/>
      <c r="H73" s="264"/>
      <c r="I73" s="264"/>
      <c r="J73" s="264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</row>
    <row r="74" spans="1:52" hidden="1" x14ac:dyDescent="0.2">
      <c r="A74" s="841" t="str">
        <f>'Титульный лист (заочная)'!A11:N11</f>
        <v>Специфика:</v>
      </c>
      <c r="B74" s="842"/>
      <c r="C74" s="842"/>
      <c r="D74" s="65"/>
      <c r="E74" s="215"/>
      <c r="F74" s="65"/>
      <c r="G74" s="65"/>
      <c r="H74" s="65"/>
      <c r="I74" s="65"/>
      <c r="J74" s="65"/>
      <c r="K74" s="66"/>
      <c r="L74" s="66"/>
      <c r="M74" s="65"/>
      <c r="N74" s="65"/>
      <c r="O74" s="65"/>
      <c r="P74" s="65"/>
      <c r="Q74" s="65"/>
      <c r="R74" s="65"/>
      <c r="S74" s="65"/>
      <c r="T74" s="66"/>
      <c r="U74" s="216"/>
      <c r="V74" s="216"/>
      <c r="W74" s="216"/>
      <c r="X74" s="216"/>
      <c r="Y74" s="216"/>
      <c r="Z74" s="66"/>
      <c r="AA74" s="216"/>
      <c r="AB74" s="216"/>
      <c r="AC74" s="216"/>
      <c r="AD74" s="216"/>
      <c r="AE74" s="216"/>
      <c r="AF74" s="66"/>
      <c r="AG74" s="216"/>
      <c r="AH74" s="216"/>
      <c r="AI74" s="216"/>
      <c r="AJ74" s="216"/>
      <c r="AK74" s="216"/>
      <c r="AL74" s="66"/>
      <c r="AM74" s="216"/>
      <c r="AN74" s="216"/>
      <c r="AO74" s="216"/>
      <c r="AP74" s="216"/>
      <c r="AQ74" s="216"/>
      <c r="AR74" s="66"/>
      <c r="AS74" s="216"/>
      <c r="AT74" s="216"/>
      <c r="AU74" s="216"/>
      <c r="AV74" s="216"/>
      <c r="AW74" s="216"/>
      <c r="AX74" s="216"/>
    </row>
    <row r="75" spans="1:52" hidden="1" x14ac:dyDescent="0.2">
      <c r="A75" s="848">
        <f>'Титульный лист (заочная)'!O11</f>
        <v>0</v>
      </c>
      <c r="B75" s="849"/>
      <c r="C75" s="849"/>
      <c r="D75" s="67"/>
      <c r="E75" s="217"/>
      <c r="F75" s="67"/>
      <c r="G75" s="67"/>
      <c r="H75" s="67"/>
      <c r="I75" s="67"/>
      <c r="J75" s="67"/>
      <c r="K75" s="68"/>
      <c r="L75" s="68"/>
      <c r="M75" s="67"/>
      <c r="N75" s="67"/>
      <c r="O75" s="67"/>
      <c r="P75" s="67"/>
      <c r="Q75" s="67"/>
      <c r="R75" s="67"/>
      <c r="S75" s="67"/>
      <c r="T75" s="68"/>
      <c r="U75" s="218"/>
      <c r="V75" s="218"/>
      <c r="W75" s="218"/>
      <c r="X75" s="218"/>
      <c r="Y75" s="218"/>
      <c r="Z75" s="68"/>
      <c r="AA75" s="218"/>
      <c r="AB75" s="218"/>
      <c r="AC75" s="218"/>
      <c r="AD75" s="218"/>
      <c r="AE75" s="218"/>
      <c r="AF75" s="68"/>
      <c r="AG75" s="218"/>
      <c r="AH75" s="218"/>
      <c r="AI75" s="218"/>
      <c r="AJ75" s="218"/>
      <c r="AK75" s="218"/>
      <c r="AL75" s="68"/>
      <c r="AM75" s="218"/>
      <c r="AN75" s="218"/>
      <c r="AO75" s="218"/>
      <c r="AP75" s="218"/>
      <c r="AQ75" s="218"/>
      <c r="AR75" s="68"/>
      <c r="AS75" s="218"/>
      <c r="AT75" s="218"/>
      <c r="AU75" s="218"/>
      <c r="AV75" s="218"/>
      <c r="AW75" s="218"/>
      <c r="AX75" s="218"/>
    </row>
    <row r="76" spans="1:52" x14ac:dyDescent="0.2">
      <c r="A76" s="69"/>
      <c r="B76" s="823" t="s">
        <v>547</v>
      </c>
      <c r="C76" s="824"/>
      <c r="D76" s="824"/>
      <c r="E76" s="824"/>
      <c r="F76" s="824"/>
      <c r="G76" s="824"/>
      <c r="H76" s="825"/>
      <c r="I76" s="320"/>
      <c r="J76" s="316"/>
      <c r="K76" s="219">
        <f t="shared" ref="K76:S76" si="85">K11+K58</f>
        <v>3672</v>
      </c>
      <c r="L76" s="571">
        <f t="shared" si="85"/>
        <v>2448</v>
      </c>
      <c r="M76" s="228">
        <f t="shared" si="85"/>
        <v>3493</v>
      </c>
      <c r="N76" s="220">
        <f t="shared" si="85"/>
        <v>610</v>
      </c>
      <c r="O76" s="220">
        <f t="shared" si="85"/>
        <v>478</v>
      </c>
      <c r="P76" s="220">
        <f t="shared" si="85"/>
        <v>132</v>
      </c>
      <c r="Q76" s="220">
        <f t="shared" si="85"/>
        <v>0</v>
      </c>
      <c r="R76" s="220">
        <f t="shared" si="85"/>
        <v>0</v>
      </c>
      <c r="S76" s="220">
        <f t="shared" si="85"/>
        <v>2883</v>
      </c>
      <c r="T76" s="573">
        <f>SUM(U76:Y76)</f>
        <v>834</v>
      </c>
      <c r="U76" s="221">
        <f>U11+U58</f>
        <v>96</v>
      </c>
      <c r="V76" s="221">
        <f>V11+V58</f>
        <v>64</v>
      </c>
      <c r="W76" s="221">
        <f>W11+W58</f>
        <v>0</v>
      </c>
      <c r="X76" s="221">
        <f>X11+X58</f>
        <v>0</v>
      </c>
      <c r="Y76" s="229">
        <f>Y11+Y58</f>
        <v>674</v>
      </c>
      <c r="Z76" s="575">
        <f>SUM(AA76:AE76)</f>
        <v>900</v>
      </c>
      <c r="AA76" s="221">
        <f>AA11+AA58</f>
        <v>128</v>
      </c>
      <c r="AB76" s="221">
        <f>AB11+AB58</f>
        <v>32</v>
      </c>
      <c r="AC76" s="221">
        <f>AC11+AC58</f>
        <v>0</v>
      </c>
      <c r="AD76" s="221">
        <f>AD11+AD58</f>
        <v>0</v>
      </c>
      <c r="AE76" s="221">
        <f>AE11+AE58</f>
        <v>740</v>
      </c>
      <c r="AF76" s="573">
        <f>SUM(AG76:AK76)</f>
        <v>1010</v>
      </c>
      <c r="AG76" s="221">
        <f>AG11+AG58</f>
        <v>136</v>
      </c>
      <c r="AH76" s="221">
        <f>AH11+AH58</f>
        <v>24</v>
      </c>
      <c r="AI76" s="221">
        <f>AI11+AI58</f>
        <v>0</v>
      </c>
      <c r="AJ76" s="221">
        <f>AJ11+AJ58</f>
        <v>0</v>
      </c>
      <c r="AK76" s="229">
        <f>AK11+AK58</f>
        <v>850</v>
      </c>
      <c r="AL76" s="575">
        <f>SUM(AM76:AQ76)</f>
        <v>928</v>
      </c>
      <c r="AM76" s="221">
        <f>AM11+AM58</f>
        <v>134</v>
      </c>
      <c r="AN76" s="221">
        <f>AN11+AN58</f>
        <v>26</v>
      </c>
      <c r="AO76" s="221">
        <f>AO11+AO58</f>
        <v>0</v>
      </c>
      <c r="AP76" s="221">
        <f>AP11+AP58</f>
        <v>0</v>
      </c>
      <c r="AQ76" s="221">
        <f>AQ11+AQ58</f>
        <v>768</v>
      </c>
      <c r="AR76" s="573"/>
      <c r="AS76" s="221"/>
      <c r="AT76" s="221"/>
      <c r="AU76" s="221"/>
      <c r="AV76" s="221"/>
      <c r="AW76" s="221"/>
      <c r="AX76" s="221"/>
    </row>
    <row r="77" spans="1:52" x14ac:dyDescent="0.2">
      <c r="A77" s="69"/>
      <c r="B77" s="823" t="s">
        <v>226</v>
      </c>
      <c r="C77" s="824"/>
      <c r="D77" s="824"/>
      <c r="E77" s="824"/>
      <c r="F77" s="824"/>
      <c r="G77" s="824"/>
      <c r="H77" s="825"/>
      <c r="I77" s="320"/>
      <c r="J77" s="316"/>
      <c r="K77" s="219">
        <v>2484</v>
      </c>
      <c r="L77" s="571">
        <v>1656</v>
      </c>
      <c r="M77" s="228">
        <f>M66</f>
        <v>1296</v>
      </c>
      <c r="N77" s="220">
        <f>N66</f>
        <v>1296</v>
      </c>
      <c r="O77" s="220">
        <f>O66</f>
        <v>0</v>
      </c>
      <c r="P77" s="220">
        <f>P66</f>
        <v>0</v>
      </c>
      <c r="Q77" s="220">
        <f>Q66</f>
        <v>0</v>
      </c>
      <c r="R77" s="220">
        <v>0</v>
      </c>
      <c r="S77" s="228">
        <f>S66</f>
        <v>0</v>
      </c>
      <c r="T77" s="573">
        <f>SUM(U77:Y77)</f>
        <v>0</v>
      </c>
      <c r="U77" s="222">
        <f>U66</f>
        <v>0</v>
      </c>
      <c r="V77" s="221">
        <f t="shared" ref="V77:Y77" si="86">V66</f>
        <v>0</v>
      </c>
      <c r="W77" s="221">
        <f t="shared" si="86"/>
        <v>0</v>
      </c>
      <c r="X77" s="221">
        <f t="shared" si="86"/>
        <v>0</v>
      </c>
      <c r="Y77" s="222">
        <f t="shared" si="86"/>
        <v>0</v>
      </c>
      <c r="Z77" s="575">
        <f>SUM(AA77:AE77)</f>
        <v>0</v>
      </c>
      <c r="AA77" s="222">
        <f>AA66</f>
        <v>0</v>
      </c>
      <c r="AB77" s="221">
        <f t="shared" ref="AB77:AE77" si="87">AB66</f>
        <v>0</v>
      </c>
      <c r="AC77" s="221">
        <f t="shared" si="87"/>
        <v>0</v>
      </c>
      <c r="AD77" s="221">
        <f t="shared" si="87"/>
        <v>0</v>
      </c>
      <c r="AE77" s="224">
        <f t="shared" si="87"/>
        <v>0</v>
      </c>
      <c r="AF77" s="573">
        <f>SUM(AG77:AK77)</f>
        <v>900</v>
      </c>
      <c r="AG77" s="222">
        <f>AG66</f>
        <v>0</v>
      </c>
      <c r="AH77" s="221">
        <f t="shared" ref="AH77:AK77" si="88">AH66</f>
        <v>0</v>
      </c>
      <c r="AI77" s="221">
        <f t="shared" si="88"/>
        <v>0</v>
      </c>
      <c r="AJ77" s="221">
        <f t="shared" si="88"/>
        <v>900</v>
      </c>
      <c r="AK77" s="222">
        <f t="shared" si="88"/>
        <v>0</v>
      </c>
      <c r="AL77" s="575">
        <f>SUM(AM77:AQ77)</f>
        <v>396</v>
      </c>
      <c r="AM77" s="222">
        <f>AM66</f>
        <v>0</v>
      </c>
      <c r="AN77" s="221">
        <f t="shared" ref="AN77:AQ77" si="89">AN66</f>
        <v>0</v>
      </c>
      <c r="AO77" s="221">
        <f t="shared" si="89"/>
        <v>0</v>
      </c>
      <c r="AP77" s="221">
        <f t="shared" si="89"/>
        <v>396</v>
      </c>
      <c r="AQ77" s="224">
        <f t="shared" si="89"/>
        <v>0</v>
      </c>
      <c r="AR77" s="573"/>
      <c r="AS77" s="222"/>
      <c r="AT77" s="221"/>
      <c r="AU77" s="221"/>
      <c r="AV77" s="221"/>
      <c r="AW77" s="221"/>
      <c r="AX77" s="222"/>
    </row>
    <row r="78" spans="1:52" x14ac:dyDescent="0.2">
      <c r="A78" s="69"/>
      <c r="B78" s="823" t="s">
        <v>534</v>
      </c>
      <c r="C78" s="824"/>
      <c r="D78" s="824"/>
      <c r="E78" s="824"/>
      <c r="F78" s="824"/>
      <c r="G78" s="824"/>
      <c r="H78" s="825"/>
      <c r="I78" s="320"/>
      <c r="J78" s="316"/>
      <c r="K78" s="219">
        <f>K69</f>
        <v>216</v>
      </c>
      <c r="L78" s="571">
        <f>L69</f>
        <v>0</v>
      </c>
      <c r="M78" s="228">
        <f>M69</f>
        <v>216</v>
      </c>
      <c r="N78" s="220">
        <f t="shared" ref="N78:R78" si="90">N69</f>
        <v>0</v>
      </c>
      <c r="O78" s="220">
        <f t="shared" si="90"/>
        <v>0</v>
      </c>
      <c r="P78" s="220">
        <f t="shared" si="90"/>
        <v>0</v>
      </c>
      <c r="Q78" s="220">
        <f t="shared" si="90"/>
        <v>0</v>
      </c>
      <c r="R78" s="220">
        <f t="shared" si="90"/>
        <v>0</v>
      </c>
      <c r="S78" s="228">
        <f>S69</f>
        <v>216</v>
      </c>
      <c r="T78" s="573">
        <f>SUM(U78:Y78)</f>
        <v>0</v>
      </c>
      <c r="U78" s="221">
        <f t="shared" ref="U78:Y78" si="91">U69</f>
        <v>0</v>
      </c>
      <c r="V78" s="221">
        <f t="shared" si="91"/>
        <v>0</v>
      </c>
      <c r="W78" s="221">
        <f t="shared" si="91"/>
        <v>0</v>
      </c>
      <c r="X78" s="221">
        <f t="shared" si="91"/>
        <v>0</v>
      </c>
      <c r="Y78" s="222">
        <f t="shared" si="91"/>
        <v>0</v>
      </c>
      <c r="Z78" s="575">
        <f>SUM(AA78:AE78)</f>
        <v>0</v>
      </c>
      <c r="AA78" s="221">
        <f t="shared" ref="AA78:AE78" si="92">AA69</f>
        <v>0</v>
      </c>
      <c r="AB78" s="221">
        <f t="shared" si="92"/>
        <v>0</v>
      </c>
      <c r="AC78" s="221">
        <f t="shared" si="92"/>
        <v>0</v>
      </c>
      <c r="AD78" s="221">
        <f t="shared" si="92"/>
        <v>0</v>
      </c>
      <c r="AE78" s="224">
        <f t="shared" si="92"/>
        <v>0</v>
      </c>
      <c r="AF78" s="573">
        <f t="shared" ref="AF78:AK78" si="93">AF69</f>
        <v>0</v>
      </c>
      <c r="AG78" s="221">
        <f t="shared" si="93"/>
        <v>0</v>
      </c>
      <c r="AH78" s="221">
        <f t="shared" si="93"/>
        <v>0</v>
      </c>
      <c r="AI78" s="221">
        <f t="shared" si="93"/>
        <v>0</v>
      </c>
      <c r="AJ78" s="221">
        <f t="shared" si="93"/>
        <v>0</v>
      </c>
      <c r="AK78" s="222">
        <f t="shared" si="93"/>
        <v>0</v>
      </c>
      <c r="AL78" s="575">
        <f t="shared" ref="AL78:AQ78" si="94">AL69</f>
        <v>216</v>
      </c>
      <c r="AM78" s="221">
        <f t="shared" si="94"/>
        <v>0</v>
      </c>
      <c r="AN78" s="221">
        <f t="shared" si="94"/>
        <v>0</v>
      </c>
      <c r="AO78" s="221">
        <f t="shared" si="94"/>
        <v>0</v>
      </c>
      <c r="AP78" s="221">
        <f t="shared" si="94"/>
        <v>0</v>
      </c>
      <c r="AQ78" s="224">
        <f t="shared" si="94"/>
        <v>216</v>
      </c>
      <c r="AR78" s="573"/>
      <c r="AS78" s="221"/>
      <c r="AT78" s="221"/>
      <c r="AU78" s="221"/>
      <c r="AV78" s="221"/>
      <c r="AW78" s="221"/>
      <c r="AX78" s="222"/>
    </row>
    <row r="79" spans="1:52" s="176" customFormat="1" ht="12.75" hidden="1" customHeight="1" x14ac:dyDescent="0.2">
      <c r="A79" s="70"/>
      <c r="B79" s="796" t="s">
        <v>268</v>
      </c>
      <c r="C79" s="785"/>
      <c r="D79" s="785"/>
      <c r="E79" s="785"/>
      <c r="F79" s="785"/>
      <c r="G79" s="785"/>
      <c r="H79" s="826"/>
      <c r="I79" s="321"/>
      <c r="J79" s="317"/>
      <c r="K79" s="223">
        <f t="shared" ref="K79:L79" si="95">K71</f>
        <v>0</v>
      </c>
      <c r="L79" s="572">
        <f t="shared" si="95"/>
        <v>0</v>
      </c>
      <c r="M79" s="221" t="e">
        <f>M72</f>
        <v>#VALUE!</v>
      </c>
      <c r="N79" s="224">
        <f t="shared" ref="N79:R79" si="96">N71</f>
        <v>0</v>
      </c>
      <c r="O79" s="224">
        <f t="shared" si="96"/>
        <v>0</v>
      </c>
      <c r="P79" s="224">
        <f t="shared" si="96"/>
        <v>0</v>
      </c>
      <c r="Q79" s="224">
        <f t="shared" si="96"/>
        <v>0</v>
      </c>
      <c r="R79" s="224">
        <f t="shared" si="96"/>
        <v>0</v>
      </c>
      <c r="S79" s="224">
        <f>S71</f>
        <v>0</v>
      </c>
      <c r="T79" s="574">
        <f t="shared" ref="T79:Y79" si="97">T71</f>
        <v>0</v>
      </c>
      <c r="U79" s="221">
        <f t="shared" si="97"/>
        <v>0</v>
      </c>
      <c r="V79" s="221">
        <f t="shared" si="97"/>
        <v>0</v>
      </c>
      <c r="W79" s="221">
        <f t="shared" si="97"/>
        <v>0</v>
      </c>
      <c r="X79" s="221">
        <f t="shared" si="97"/>
        <v>0</v>
      </c>
      <c r="Y79" s="222">
        <f t="shared" si="97"/>
        <v>0</v>
      </c>
      <c r="Z79" s="576">
        <f t="shared" ref="Z79:AE79" si="98">Z71</f>
        <v>0</v>
      </c>
      <c r="AA79" s="221">
        <f t="shared" si="98"/>
        <v>0</v>
      </c>
      <c r="AB79" s="221">
        <f t="shared" si="98"/>
        <v>0</v>
      </c>
      <c r="AC79" s="221">
        <f t="shared" si="98"/>
        <v>0</v>
      </c>
      <c r="AD79" s="221">
        <f t="shared" si="98"/>
        <v>0</v>
      </c>
      <c r="AE79" s="224">
        <f t="shared" si="98"/>
        <v>0</v>
      </c>
      <c r="AF79" s="574">
        <f t="shared" ref="AF79:AK79" si="99">AF71</f>
        <v>0</v>
      </c>
      <c r="AG79" s="221">
        <f t="shared" si="99"/>
        <v>0</v>
      </c>
      <c r="AH79" s="221">
        <f t="shared" si="99"/>
        <v>0</v>
      </c>
      <c r="AI79" s="221">
        <f t="shared" si="99"/>
        <v>0</v>
      </c>
      <c r="AJ79" s="221">
        <f t="shared" si="99"/>
        <v>0</v>
      </c>
      <c r="AK79" s="222">
        <f t="shared" si="99"/>
        <v>0</v>
      </c>
      <c r="AL79" s="576">
        <f t="shared" ref="AL79:AQ79" si="100">AL71</f>
        <v>0</v>
      </c>
      <c r="AM79" s="221">
        <f t="shared" si="100"/>
        <v>0</v>
      </c>
      <c r="AN79" s="221">
        <f t="shared" si="100"/>
        <v>0</v>
      </c>
      <c r="AO79" s="221">
        <f t="shared" si="100"/>
        <v>0</v>
      </c>
      <c r="AP79" s="221">
        <f t="shared" si="100"/>
        <v>0</v>
      </c>
      <c r="AQ79" s="224">
        <f t="shared" si="100"/>
        <v>0</v>
      </c>
      <c r="AR79" s="574"/>
      <c r="AS79" s="221"/>
      <c r="AT79" s="221"/>
      <c r="AU79" s="221"/>
      <c r="AV79" s="221"/>
      <c r="AW79" s="221"/>
      <c r="AX79" s="222"/>
      <c r="AY79" s="225"/>
      <c r="AZ79" s="225"/>
    </row>
    <row r="80" spans="1:52" x14ac:dyDescent="0.2">
      <c r="A80" s="226"/>
      <c r="B80" s="823" t="s">
        <v>211</v>
      </c>
      <c r="C80" s="824"/>
      <c r="D80" s="824"/>
      <c r="E80" s="824"/>
      <c r="F80" s="824"/>
      <c r="G80" s="824"/>
      <c r="H80" s="824"/>
      <c r="I80" s="319"/>
      <c r="J80" s="315"/>
      <c r="K80" s="227">
        <f>SUM(K76:K78)</f>
        <v>6372</v>
      </c>
      <c r="L80" s="571">
        <f>SUM(L76:L78)</f>
        <v>4104</v>
      </c>
      <c r="M80" s="228">
        <f>SUM(M76:M78)</f>
        <v>5005</v>
      </c>
      <c r="N80" s="228">
        <f t="shared" ref="N80:R80" si="101">SUM(N76:N78)</f>
        <v>1906</v>
      </c>
      <c r="O80" s="228">
        <f t="shared" si="101"/>
        <v>478</v>
      </c>
      <c r="P80" s="228">
        <f t="shared" si="101"/>
        <v>132</v>
      </c>
      <c r="Q80" s="228">
        <f t="shared" si="101"/>
        <v>0</v>
      </c>
      <c r="R80" s="228">
        <f t="shared" si="101"/>
        <v>0</v>
      </c>
      <c r="S80" s="228">
        <f>SUM(S76:S78)</f>
        <v>3099</v>
      </c>
      <c r="T80" s="573">
        <f t="shared" ref="T80:Y80" si="102">SUM(T76:T78)</f>
        <v>834</v>
      </c>
      <c r="U80" s="221">
        <f t="shared" si="102"/>
        <v>96</v>
      </c>
      <c r="V80" s="221">
        <f t="shared" si="102"/>
        <v>64</v>
      </c>
      <c r="W80" s="221">
        <f t="shared" si="102"/>
        <v>0</v>
      </c>
      <c r="X80" s="221">
        <f t="shared" si="102"/>
        <v>0</v>
      </c>
      <c r="Y80" s="229">
        <f t="shared" si="102"/>
        <v>674</v>
      </c>
      <c r="Z80" s="575">
        <f t="shared" ref="Z80:AE80" si="103">SUM(Z76:Z78)</f>
        <v>900</v>
      </c>
      <c r="AA80" s="221">
        <f t="shared" si="103"/>
        <v>128</v>
      </c>
      <c r="AB80" s="221">
        <f t="shared" si="103"/>
        <v>32</v>
      </c>
      <c r="AC80" s="221">
        <f t="shared" si="103"/>
        <v>0</v>
      </c>
      <c r="AD80" s="221">
        <f t="shared" si="103"/>
        <v>0</v>
      </c>
      <c r="AE80" s="221">
        <f t="shared" si="103"/>
        <v>740</v>
      </c>
      <c r="AF80" s="573">
        <f t="shared" ref="AF80:AK80" si="104">SUM(AF76:AF78)</f>
        <v>1910</v>
      </c>
      <c r="AG80" s="221">
        <f t="shared" si="104"/>
        <v>136</v>
      </c>
      <c r="AH80" s="221">
        <f t="shared" si="104"/>
        <v>24</v>
      </c>
      <c r="AI80" s="221">
        <f t="shared" si="104"/>
        <v>0</v>
      </c>
      <c r="AJ80" s="221">
        <f t="shared" si="104"/>
        <v>900</v>
      </c>
      <c r="AK80" s="229">
        <f t="shared" si="104"/>
        <v>850</v>
      </c>
      <c r="AL80" s="575">
        <f t="shared" ref="AL80:AQ80" si="105">SUM(AL76:AL78)</f>
        <v>1540</v>
      </c>
      <c r="AM80" s="221">
        <f t="shared" si="105"/>
        <v>134</v>
      </c>
      <c r="AN80" s="221">
        <f t="shared" si="105"/>
        <v>26</v>
      </c>
      <c r="AO80" s="221">
        <f t="shared" si="105"/>
        <v>0</v>
      </c>
      <c r="AP80" s="221">
        <f t="shared" si="105"/>
        <v>396</v>
      </c>
      <c r="AQ80" s="221">
        <f t="shared" si="105"/>
        <v>984</v>
      </c>
      <c r="AR80" s="573"/>
      <c r="AS80" s="221"/>
      <c r="AT80" s="221"/>
      <c r="AU80" s="221"/>
      <c r="AV80" s="221"/>
      <c r="AW80" s="221"/>
      <c r="AX80" s="229"/>
    </row>
    <row r="81" spans="1:50" x14ac:dyDescent="0.2">
      <c r="A81" s="226"/>
      <c r="B81" s="796" t="s">
        <v>227</v>
      </c>
      <c r="C81" s="785"/>
      <c r="D81" s="785"/>
      <c r="E81" s="785"/>
      <c r="F81" s="785"/>
      <c r="G81" s="785"/>
      <c r="H81" s="785"/>
      <c r="I81" s="785"/>
      <c r="J81" s="785"/>
      <c r="K81" s="785"/>
      <c r="L81" s="785"/>
      <c r="M81" s="789">
        <f>COUNTIF(M13:M16,"&gt;0")+COUNTIF(M18:M20,"&gt;0")+COUNTIF(M23:M29,"&gt;0")+COUNTIF(M33:M42,"&gt;0")+COUNTIF(M46:M47,"&gt;0")+COUNTIF(M51:M51,"&gt;0")+COUNTIF(M59:M64,"&gt;0")+COUNTIF(M54,"&gt;0")</f>
        <v>34</v>
      </c>
      <c r="N81" s="790"/>
      <c r="O81" s="790"/>
      <c r="P81" s="790"/>
      <c r="Q81" s="790"/>
      <c r="R81" s="790"/>
      <c r="S81" s="791"/>
      <c r="T81" s="788">
        <f>COUNTIF(T13:T16,"&gt;0")+COUNTIF(T18:T20,"&gt;0")+COUNTIF(T23:T29,"&gt;0")+COUNTIF(T33:T42,"&gt;0")+COUNTIF(T46:T48,"&gt;0")+COUNTIF(T59:T64,"&gt;0")+COUNTIF(T51:T51,"&gt;0")</f>
        <v>12</v>
      </c>
      <c r="U81" s="788"/>
      <c r="V81" s="788"/>
      <c r="W81" s="788"/>
      <c r="X81" s="788"/>
      <c r="Y81" s="788"/>
      <c r="Z81" s="820">
        <f>COUNTIF(Z13:Z16,"&gt;0")+COUNTIF(Z18:Z20,"&gt;0")+COUNTIF(Z23:Z29,"&gt;0")+COUNTIF(Z33:Z42,"&gt;0")+COUNTIF(Z46:Z48,"&gt;0")+COUNTIF(Z59:Z64,"&gt;0")+COUNTIF(Z51:Z51,"&gt;0")</f>
        <v>12</v>
      </c>
      <c r="AA81" s="788"/>
      <c r="AB81" s="788"/>
      <c r="AC81" s="788"/>
      <c r="AD81" s="788"/>
      <c r="AE81" s="821"/>
      <c r="AF81" s="788">
        <f>COUNTIF(AF13:AF16,"&gt;0")+COUNTIF(AF18:AF20,"&gt;0")+COUNTIF(AF23:AF29,"&gt;0")+COUNTIF(AF33:AF42,"&gt;0")+COUNTIF(AF46:AF48,"&gt;0")+COUNTIF(AF59:AF64,"&gt;0")+COUNTIF(AF51:AF51,"&gt;0")</f>
        <v>14</v>
      </c>
      <c r="AG81" s="788"/>
      <c r="AH81" s="788"/>
      <c r="AI81" s="788"/>
      <c r="AJ81" s="788"/>
      <c r="AK81" s="788"/>
      <c r="AL81" s="820">
        <f>COUNTIF(AL13:AL16,"&gt;0")+COUNTIF(AL18:AL20,"&gt;0")+COUNTIF(AL23:AL29,"&gt;0")+COUNTIF(AL33:AL42,"&gt;0")+COUNTIF(AL46:AL48,"&gt;0")+COUNTIF(AL59:AL64,"&gt;0")+COUNTIF(AL51:AL51,"&gt;0")</f>
        <v>10</v>
      </c>
      <c r="AM81" s="788"/>
      <c r="AN81" s="788"/>
      <c r="AO81" s="788"/>
      <c r="AP81" s="788"/>
      <c r="AQ81" s="821"/>
      <c r="AR81" s="788"/>
      <c r="AS81" s="788"/>
      <c r="AT81" s="788"/>
      <c r="AU81" s="788"/>
      <c r="AV81" s="788"/>
      <c r="AW81" s="788"/>
      <c r="AX81" s="822"/>
    </row>
    <row r="82" spans="1:50" x14ac:dyDescent="0.2">
      <c r="A82" s="226"/>
      <c r="B82" s="796" t="s">
        <v>79</v>
      </c>
      <c r="C82" s="785"/>
      <c r="D82" s="785"/>
      <c r="E82" s="785"/>
      <c r="F82" s="785"/>
      <c r="G82" s="785"/>
      <c r="H82" s="785"/>
      <c r="I82" s="785"/>
      <c r="J82" s="785"/>
      <c r="K82" s="785"/>
      <c r="L82" s="785"/>
      <c r="M82" s="789">
        <f>Z82+AF82+AL82+AR82+T82</f>
        <v>6</v>
      </c>
      <c r="N82" s="790"/>
      <c r="O82" s="790"/>
      <c r="P82" s="790"/>
      <c r="Q82" s="790"/>
      <c r="R82" s="790"/>
      <c r="S82" s="791"/>
      <c r="T82" s="817">
        <f t="shared" ref="T82" si="106">COUNTIF(T65:T68,"&gt;0")</f>
        <v>0</v>
      </c>
      <c r="U82" s="815"/>
      <c r="V82" s="815"/>
      <c r="W82" s="815"/>
      <c r="X82" s="815"/>
      <c r="Y82" s="818"/>
      <c r="Z82" s="814">
        <f t="shared" ref="Z82" si="107">COUNTIF(Z65:Z68,"&gt;0")</f>
        <v>1</v>
      </c>
      <c r="AA82" s="815"/>
      <c r="AB82" s="815"/>
      <c r="AC82" s="815"/>
      <c r="AD82" s="815"/>
      <c r="AE82" s="816"/>
      <c r="AF82" s="817">
        <f t="shared" ref="AF82" si="108">COUNTIF(AF65:AF68,"&gt;0")</f>
        <v>2</v>
      </c>
      <c r="AG82" s="815"/>
      <c r="AH82" s="815"/>
      <c r="AI82" s="815"/>
      <c r="AJ82" s="815"/>
      <c r="AK82" s="818"/>
      <c r="AL82" s="814">
        <f>COUNTIF(AL65:AL68,"&gt;0")</f>
        <v>3</v>
      </c>
      <c r="AM82" s="815"/>
      <c r="AN82" s="815"/>
      <c r="AO82" s="815"/>
      <c r="AP82" s="815"/>
      <c r="AQ82" s="816"/>
      <c r="AR82" s="817"/>
      <c r="AS82" s="815"/>
      <c r="AT82" s="815"/>
      <c r="AU82" s="815"/>
      <c r="AV82" s="815"/>
      <c r="AW82" s="815"/>
      <c r="AX82" s="818"/>
    </row>
    <row r="83" spans="1:50" x14ac:dyDescent="0.2">
      <c r="A83" s="230"/>
      <c r="B83" s="784" t="s">
        <v>548</v>
      </c>
      <c r="C83" s="785"/>
      <c r="D83" s="785"/>
      <c r="E83" s="785"/>
      <c r="F83" s="785"/>
      <c r="G83" s="785"/>
      <c r="H83" s="785"/>
      <c r="I83" s="785"/>
      <c r="J83" s="785"/>
      <c r="K83" s="785"/>
      <c r="L83" s="785"/>
      <c r="M83" s="802">
        <f>N76/(AC5+AJ5+AO5+AU5)*7</f>
        <v>28.5</v>
      </c>
      <c r="N83" s="803"/>
      <c r="O83" s="803"/>
      <c r="P83" s="803"/>
      <c r="Q83" s="803"/>
      <c r="R83" s="803"/>
      <c r="S83" s="804"/>
      <c r="T83" s="806">
        <f>T80/W5</f>
        <v>27.8</v>
      </c>
      <c r="U83" s="806"/>
      <c r="V83" s="806"/>
      <c r="W83" s="806"/>
      <c r="X83" s="806"/>
      <c r="Y83" s="806"/>
      <c r="Z83" s="805">
        <f>Z80/AC5</f>
        <v>30</v>
      </c>
      <c r="AA83" s="806"/>
      <c r="AB83" s="806"/>
      <c r="AC83" s="806"/>
      <c r="AD83" s="806"/>
      <c r="AE83" s="807"/>
      <c r="AF83" s="808">
        <f>AF76/AJ5</f>
        <v>25.3</v>
      </c>
      <c r="AG83" s="809"/>
      <c r="AH83" s="809"/>
      <c r="AI83" s="809"/>
      <c r="AJ83" s="809"/>
      <c r="AK83" s="810"/>
      <c r="AL83" s="811">
        <f>AL76/AO5</f>
        <v>23.2</v>
      </c>
      <c r="AM83" s="809"/>
      <c r="AN83" s="809"/>
      <c r="AO83" s="809"/>
      <c r="AP83" s="809"/>
      <c r="AQ83" s="812"/>
      <c r="AR83" s="808"/>
      <c r="AS83" s="809"/>
      <c r="AT83" s="809"/>
      <c r="AU83" s="809"/>
      <c r="AV83" s="809"/>
      <c r="AW83" s="809"/>
      <c r="AX83" s="810"/>
    </row>
    <row r="84" spans="1:50" x14ac:dyDescent="0.2">
      <c r="A84" s="231"/>
      <c r="B84" s="796" t="s">
        <v>225</v>
      </c>
      <c r="C84" s="785"/>
      <c r="D84" s="785"/>
      <c r="E84" s="785"/>
      <c r="F84" s="785"/>
      <c r="G84" s="785"/>
      <c r="H84" s="785"/>
      <c r="I84" s="785"/>
      <c r="J84" s="785"/>
      <c r="K84" s="785"/>
      <c r="L84" s="785"/>
      <c r="M84" s="802">
        <f>IF('[1]Титульный лист (заочная)'!BD29=0,0,IF(M76=0,0,M76/(AC5+AJ5+AO5+AU5)))</f>
        <v>23.3</v>
      </c>
      <c r="N84" s="803"/>
      <c r="O84" s="803"/>
      <c r="P84" s="803"/>
      <c r="Q84" s="803"/>
      <c r="R84" s="803"/>
      <c r="S84" s="804"/>
      <c r="T84" s="806">
        <f>SUM(U76:W76)/W5*7</f>
        <v>37.299999999999997</v>
      </c>
      <c r="U84" s="806"/>
      <c r="V84" s="813"/>
      <c r="W84" s="813"/>
      <c r="X84" s="806"/>
      <c r="Y84" s="806"/>
      <c r="Z84" s="805">
        <f>SUM(AA76:AC76)/AC5*6</f>
        <v>32</v>
      </c>
      <c r="AA84" s="806"/>
      <c r="AB84" s="813"/>
      <c r="AC84" s="813"/>
      <c r="AD84" s="806"/>
      <c r="AE84" s="807"/>
      <c r="AF84" s="806">
        <f>SUM(AG76:AH76)/AC5*6</f>
        <v>32</v>
      </c>
      <c r="AG84" s="806"/>
      <c r="AH84" s="813"/>
      <c r="AI84" s="813"/>
      <c r="AJ84" s="806"/>
      <c r="AK84" s="806"/>
      <c r="AL84" s="805">
        <f>SUM(AM76:AO76)/AC5*6</f>
        <v>32</v>
      </c>
      <c r="AM84" s="806"/>
      <c r="AN84" s="813"/>
      <c r="AO84" s="813"/>
      <c r="AP84" s="806"/>
      <c r="AQ84" s="807"/>
      <c r="AR84" s="806"/>
      <c r="AS84" s="806"/>
      <c r="AT84" s="813"/>
      <c r="AU84" s="813"/>
      <c r="AV84" s="806"/>
      <c r="AW84" s="806"/>
      <c r="AX84" s="819"/>
    </row>
    <row r="85" spans="1:50" x14ac:dyDescent="0.2">
      <c r="A85" s="232"/>
      <c r="B85" s="796" t="s">
        <v>224</v>
      </c>
      <c r="C85" s="785"/>
      <c r="D85" s="785"/>
      <c r="E85" s="785"/>
      <c r="F85" s="785"/>
      <c r="G85" s="785"/>
      <c r="H85" s="785"/>
      <c r="I85" s="785"/>
      <c r="J85" s="785"/>
      <c r="K85" s="785"/>
      <c r="L85" s="785"/>
      <c r="M85" s="789">
        <f>Z85+AF85+AL85+AR85+T85</f>
        <v>13</v>
      </c>
      <c r="N85" s="790"/>
      <c r="O85" s="790" t="s">
        <v>252</v>
      </c>
      <c r="P85" s="790"/>
      <c r="Q85" s="790"/>
      <c r="R85" s="790">
        <f>X85+AD85+AJ85+AP85</f>
        <v>13</v>
      </c>
      <c r="S85" s="791"/>
      <c r="T85" s="799">
        <f>COUNTIF($D$11:$D$64,"*2*")</f>
        <v>3</v>
      </c>
      <c r="U85" s="799"/>
      <c r="V85" s="788" t="s">
        <v>252</v>
      </c>
      <c r="W85" s="788"/>
      <c r="X85" s="799">
        <f>COUNTIF($D$11:$D$64,"*2*")</f>
        <v>3</v>
      </c>
      <c r="Y85" s="799"/>
      <c r="Z85" s="801">
        <f>COUNTIF($D$11:$D$64,"*2*")</f>
        <v>3</v>
      </c>
      <c r="AA85" s="799"/>
      <c r="AB85" s="788" t="s">
        <v>252</v>
      </c>
      <c r="AC85" s="788"/>
      <c r="AD85" s="799">
        <f>COUNTIF($D$11:$D$64,"*2*")</f>
        <v>3</v>
      </c>
      <c r="AE85" s="800"/>
      <c r="AF85" s="799">
        <f>COUNTIF($D$11:$D$64,"*3*")</f>
        <v>5</v>
      </c>
      <c r="AG85" s="799"/>
      <c r="AH85" s="788" t="s">
        <v>252</v>
      </c>
      <c r="AI85" s="788"/>
      <c r="AJ85" s="799">
        <f>COUNTIF($D$11:$D$64,"*3*")</f>
        <v>5</v>
      </c>
      <c r="AK85" s="799"/>
      <c r="AL85" s="801">
        <f>COUNTIF($D$11:$D$64,"*4*")</f>
        <v>2</v>
      </c>
      <c r="AM85" s="799"/>
      <c r="AN85" s="788" t="s">
        <v>252</v>
      </c>
      <c r="AO85" s="788"/>
      <c r="AP85" s="799">
        <f>COUNTIF($D$11:$D$64,"*4*")</f>
        <v>2</v>
      </c>
      <c r="AQ85" s="800"/>
      <c r="AR85" s="799"/>
      <c r="AS85" s="799"/>
      <c r="AT85" s="788"/>
      <c r="AU85" s="788"/>
      <c r="AV85" s="799"/>
      <c r="AW85" s="799"/>
      <c r="AX85" s="799"/>
    </row>
    <row r="86" spans="1:50" x14ac:dyDescent="0.2">
      <c r="A86" s="226"/>
      <c r="B86" s="796" t="s">
        <v>223</v>
      </c>
      <c r="C86" s="785"/>
      <c r="D86" s="785"/>
      <c r="E86" s="785"/>
      <c r="F86" s="785"/>
      <c r="G86" s="785"/>
      <c r="H86" s="785"/>
      <c r="I86" s="785"/>
      <c r="J86" s="785"/>
      <c r="K86" s="785"/>
      <c r="L86" s="785"/>
      <c r="M86" s="789">
        <f>Z86+AF86+AL86+AR86+T86</f>
        <v>25</v>
      </c>
      <c r="N86" s="790"/>
      <c r="O86" s="790" t="s">
        <v>252</v>
      </c>
      <c r="P86" s="790"/>
      <c r="Q86" s="790"/>
      <c r="R86" s="790">
        <f>X86+AD86+AJ86+AP86</f>
        <v>24</v>
      </c>
      <c r="S86" s="791"/>
      <c r="T86" s="786">
        <f>COUNTIF($E$11:$F$64,"*2*")</f>
        <v>5</v>
      </c>
      <c r="U86" s="786"/>
      <c r="V86" s="788" t="s">
        <v>252</v>
      </c>
      <c r="W86" s="788"/>
      <c r="X86" s="786">
        <f>COUNTIF($E$11:$F$64,"*2*")</f>
        <v>5</v>
      </c>
      <c r="Y86" s="786"/>
      <c r="Z86" s="795">
        <f>COUNTIF($E$11:$F$64,"*2*")</f>
        <v>5</v>
      </c>
      <c r="AA86" s="786"/>
      <c r="AB86" s="788" t="s">
        <v>252</v>
      </c>
      <c r="AC86" s="788"/>
      <c r="AD86" s="786">
        <f>COUNTIF($E$11:$F$64,"*2*")</f>
        <v>5</v>
      </c>
      <c r="AE86" s="787"/>
      <c r="AF86" s="786">
        <f>COUNTIF($E$11:$F$64,"*3*")</f>
        <v>5</v>
      </c>
      <c r="AG86" s="786"/>
      <c r="AH86" s="788" t="s">
        <v>252</v>
      </c>
      <c r="AI86" s="788"/>
      <c r="AJ86" s="786">
        <f>COUNTIF($E$11:$F$64,"*3*")</f>
        <v>5</v>
      </c>
      <c r="AK86" s="786"/>
      <c r="AL86" s="795">
        <f>COUNTIF($E$11:$F$64,"*4*")</f>
        <v>10</v>
      </c>
      <c r="AM86" s="786"/>
      <c r="AN86" s="788" t="s">
        <v>252</v>
      </c>
      <c r="AO86" s="788"/>
      <c r="AP86" s="786">
        <f>COUNTIF($E$11:$F$64,"*4*")-1</f>
        <v>9</v>
      </c>
      <c r="AQ86" s="787"/>
      <c r="AR86" s="786"/>
      <c r="AS86" s="786"/>
      <c r="AT86" s="788"/>
      <c r="AU86" s="788"/>
      <c r="AV86" s="786"/>
      <c r="AW86" s="786"/>
      <c r="AX86" s="786"/>
    </row>
    <row r="87" spans="1:50" x14ac:dyDescent="0.2">
      <c r="A87" s="226"/>
      <c r="B87" s="784" t="s">
        <v>537</v>
      </c>
      <c r="C87" s="785"/>
      <c r="D87" s="785"/>
      <c r="E87" s="785"/>
      <c r="F87" s="785"/>
      <c r="G87" s="785"/>
      <c r="H87" s="785"/>
      <c r="I87" s="785"/>
      <c r="J87" s="785"/>
      <c r="K87" s="785"/>
      <c r="L87" s="785"/>
      <c r="M87" s="789">
        <f>Z87+AF87+AL87+AR87</f>
        <v>2</v>
      </c>
      <c r="N87" s="790"/>
      <c r="O87" s="790"/>
      <c r="P87" s="790"/>
      <c r="Q87" s="790"/>
      <c r="R87" s="790"/>
      <c r="S87" s="791"/>
      <c r="T87" s="783">
        <f>COUNTIF($G$11:$G$60,"*1*")</f>
        <v>0</v>
      </c>
      <c r="U87" s="783"/>
      <c r="V87" s="783"/>
      <c r="W87" s="783"/>
      <c r="X87" s="783"/>
      <c r="Y87" s="783"/>
      <c r="Z87" s="792">
        <f>COUNTIF($G$11:$G$60,"*2*")</f>
        <v>0</v>
      </c>
      <c r="AA87" s="783"/>
      <c r="AB87" s="783"/>
      <c r="AC87" s="783"/>
      <c r="AD87" s="783"/>
      <c r="AE87" s="793"/>
      <c r="AF87" s="783">
        <f>COUNTIF($G$11:$G$64,"*3*")</f>
        <v>0</v>
      </c>
      <c r="AG87" s="783"/>
      <c r="AH87" s="783"/>
      <c r="AI87" s="783"/>
      <c r="AJ87" s="783"/>
      <c r="AK87" s="783"/>
      <c r="AL87" s="792">
        <f>COUNTIF($G$11:$G$64,"*4*")</f>
        <v>2</v>
      </c>
      <c r="AM87" s="783"/>
      <c r="AN87" s="783"/>
      <c r="AO87" s="783"/>
      <c r="AP87" s="783"/>
      <c r="AQ87" s="793"/>
      <c r="AR87" s="783"/>
      <c r="AS87" s="783"/>
      <c r="AT87" s="783"/>
      <c r="AU87" s="783"/>
      <c r="AV87" s="783"/>
      <c r="AW87" s="783"/>
      <c r="AX87" s="794"/>
    </row>
    <row r="88" spans="1:50" x14ac:dyDescent="0.2">
      <c r="A88" s="233"/>
      <c r="B88" s="784" t="s">
        <v>533</v>
      </c>
      <c r="C88" s="785"/>
      <c r="D88" s="785"/>
      <c r="E88" s="785"/>
      <c r="F88" s="785"/>
      <c r="G88" s="785"/>
      <c r="H88" s="785"/>
      <c r="I88" s="785"/>
      <c r="J88" s="785"/>
      <c r="K88" s="785"/>
      <c r="L88" s="785"/>
      <c r="M88" s="789">
        <f>Z88+AF88+AL88+AR88+T88</f>
        <v>18</v>
      </c>
      <c r="N88" s="790"/>
      <c r="O88" s="790"/>
      <c r="P88" s="790"/>
      <c r="Q88" s="790"/>
      <c r="R88" s="790"/>
      <c r="S88" s="791"/>
      <c r="T88" s="783">
        <f>COUNTIF($H$9:$H$64,"*2*")</f>
        <v>4</v>
      </c>
      <c r="U88" s="783"/>
      <c r="V88" s="783"/>
      <c r="W88" s="783"/>
      <c r="X88" s="783"/>
      <c r="Y88" s="783"/>
      <c r="Z88" s="792">
        <f>COUNTIF($H$9:$H$64,"*1*")</f>
        <v>5</v>
      </c>
      <c r="AA88" s="783"/>
      <c r="AB88" s="783"/>
      <c r="AC88" s="783"/>
      <c r="AD88" s="783"/>
      <c r="AE88" s="793"/>
      <c r="AF88" s="783">
        <f>COUNTIF($H$9:$H$64,"*3*")</f>
        <v>6</v>
      </c>
      <c r="AG88" s="783"/>
      <c r="AH88" s="783"/>
      <c r="AI88" s="783"/>
      <c r="AJ88" s="783"/>
      <c r="AK88" s="783"/>
      <c r="AL88" s="792">
        <f>COUNTIF($H$9:$H$64,"*4*")</f>
        <v>3</v>
      </c>
      <c r="AM88" s="783"/>
      <c r="AN88" s="783"/>
      <c r="AO88" s="783"/>
      <c r="AP88" s="783"/>
      <c r="AQ88" s="793"/>
      <c r="AR88" s="783"/>
      <c r="AS88" s="783"/>
      <c r="AT88" s="783"/>
      <c r="AU88" s="783"/>
      <c r="AV88" s="783"/>
      <c r="AW88" s="783"/>
      <c r="AX88" s="794"/>
    </row>
    <row r="89" spans="1:50" x14ac:dyDescent="0.2">
      <c r="AX89" s="234"/>
    </row>
    <row r="91" spans="1:50" hidden="1" x14ac:dyDescent="0.2">
      <c r="A91" s="797" t="s">
        <v>250</v>
      </c>
      <c r="B91" s="797"/>
      <c r="C91" s="798" t="s">
        <v>251</v>
      </c>
      <c r="D91" s="798"/>
      <c r="E91" s="798" t="s">
        <v>272</v>
      </c>
      <c r="F91" s="798"/>
    </row>
    <row r="92" spans="1:50" hidden="1" x14ac:dyDescent="0.2">
      <c r="A92" s="73">
        <v>1</v>
      </c>
      <c r="B92" s="73">
        <v>11</v>
      </c>
      <c r="C92" s="74">
        <v>2</v>
      </c>
      <c r="D92" s="75" t="s">
        <v>40</v>
      </c>
      <c r="E92" s="74">
        <v>2</v>
      </c>
      <c r="F92" s="75" t="s">
        <v>39</v>
      </c>
    </row>
    <row r="93" spans="1:50" ht="51" hidden="1" x14ac:dyDescent="0.2">
      <c r="A93" s="73" t="s">
        <v>230</v>
      </c>
      <c r="B93" s="73" t="s">
        <v>140</v>
      </c>
      <c r="C93" s="73" t="s">
        <v>7</v>
      </c>
      <c r="D93" s="76" t="s">
        <v>253</v>
      </c>
      <c r="E93" s="73" t="s">
        <v>7</v>
      </c>
      <c r="F93" s="76" t="s">
        <v>253</v>
      </c>
    </row>
    <row r="94" spans="1:50" hidden="1" x14ac:dyDescent="0.2">
      <c r="A94" s="73">
        <v>1</v>
      </c>
      <c r="B94" s="73">
        <v>21</v>
      </c>
      <c r="C94" s="74">
        <v>2</v>
      </c>
      <c r="D94" s="75" t="s">
        <v>40</v>
      </c>
      <c r="E94" s="74">
        <v>2</v>
      </c>
      <c r="F94" s="75" t="s">
        <v>39</v>
      </c>
    </row>
    <row r="95" spans="1:50" ht="51" hidden="1" x14ac:dyDescent="0.2">
      <c r="A95" s="73" t="s">
        <v>230</v>
      </c>
      <c r="B95" s="73" t="s">
        <v>140</v>
      </c>
      <c r="C95" s="73" t="s">
        <v>7</v>
      </c>
      <c r="D95" s="76" t="s">
        <v>254</v>
      </c>
      <c r="E95" s="73" t="s">
        <v>7</v>
      </c>
      <c r="F95" s="76" t="s">
        <v>254</v>
      </c>
    </row>
    <row r="96" spans="1:50" hidden="1" x14ac:dyDescent="0.2">
      <c r="A96" s="73">
        <v>1</v>
      </c>
      <c r="B96" s="73">
        <v>30</v>
      </c>
      <c r="C96" s="74">
        <v>2</v>
      </c>
      <c r="D96" s="75" t="s">
        <v>40</v>
      </c>
      <c r="E96" s="74">
        <v>2</v>
      </c>
      <c r="F96" s="75" t="s">
        <v>39</v>
      </c>
    </row>
    <row r="97" spans="1:6" ht="51" hidden="1" x14ac:dyDescent="0.2">
      <c r="A97" s="73" t="s">
        <v>230</v>
      </c>
      <c r="B97" s="73" t="s">
        <v>140</v>
      </c>
      <c r="C97" s="73" t="s">
        <v>7</v>
      </c>
      <c r="D97" s="76" t="s">
        <v>255</v>
      </c>
      <c r="E97" s="73" t="s">
        <v>7</v>
      </c>
      <c r="F97" s="76" t="s">
        <v>255</v>
      </c>
    </row>
    <row r="98" spans="1:6" hidden="1" x14ac:dyDescent="0.2">
      <c r="A98" s="73">
        <v>1</v>
      </c>
      <c r="B98" s="73">
        <v>39</v>
      </c>
      <c r="C98" s="74">
        <v>2</v>
      </c>
      <c r="D98" s="75" t="s">
        <v>40</v>
      </c>
      <c r="E98" s="74">
        <v>2</v>
      </c>
      <c r="F98" s="75" t="s">
        <v>39</v>
      </c>
    </row>
    <row r="99" spans="1:6" ht="51" hidden="1" x14ac:dyDescent="0.2">
      <c r="A99" s="73" t="s">
        <v>230</v>
      </c>
      <c r="B99" s="73" t="s">
        <v>140</v>
      </c>
      <c r="C99" s="73" t="s">
        <v>7</v>
      </c>
      <c r="D99" s="76" t="s">
        <v>256</v>
      </c>
      <c r="E99" s="73" t="s">
        <v>7</v>
      </c>
      <c r="F99" s="76" t="s">
        <v>256</v>
      </c>
    </row>
    <row r="100" spans="1:6" hidden="1" x14ac:dyDescent="0.2">
      <c r="A100" s="73">
        <v>1</v>
      </c>
      <c r="B100" s="73">
        <v>48</v>
      </c>
      <c r="C100" s="74">
        <v>2</v>
      </c>
      <c r="D100" s="75" t="s">
        <v>40</v>
      </c>
      <c r="E100" s="74">
        <v>2</v>
      </c>
      <c r="F100" s="75" t="s">
        <v>39</v>
      </c>
    </row>
    <row r="101" spans="1:6" ht="51" hidden="1" x14ac:dyDescent="0.2">
      <c r="A101" s="73" t="s">
        <v>230</v>
      </c>
      <c r="B101" s="73" t="s">
        <v>140</v>
      </c>
      <c r="C101" s="73" t="s">
        <v>7</v>
      </c>
      <c r="D101" s="76" t="s">
        <v>257</v>
      </c>
      <c r="E101" s="73" t="s">
        <v>7</v>
      </c>
      <c r="F101" s="76" t="s">
        <v>257</v>
      </c>
    </row>
    <row r="102" spans="1:6" hidden="1" x14ac:dyDescent="0.2">
      <c r="A102" s="73">
        <v>1</v>
      </c>
      <c r="B102" s="73">
        <v>57</v>
      </c>
      <c r="C102" s="74">
        <v>2</v>
      </c>
      <c r="D102" s="75" t="s">
        <v>40</v>
      </c>
      <c r="E102" s="74">
        <v>2</v>
      </c>
      <c r="F102" s="75" t="s">
        <v>39</v>
      </c>
    </row>
    <row r="103" spans="1:6" ht="51" hidden="1" x14ac:dyDescent="0.2">
      <c r="A103" s="73" t="s">
        <v>230</v>
      </c>
      <c r="B103" s="73" t="s">
        <v>140</v>
      </c>
      <c r="C103" s="73" t="s">
        <v>7</v>
      </c>
      <c r="D103" s="76" t="s">
        <v>258</v>
      </c>
      <c r="E103" s="73" t="s">
        <v>7</v>
      </c>
      <c r="F103" s="76" t="s">
        <v>258</v>
      </c>
    </row>
    <row r="104" spans="1:6" hidden="1" x14ac:dyDescent="0.2">
      <c r="A104" s="73">
        <v>1</v>
      </c>
      <c r="B104" s="73">
        <v>66</v>
      </c>
      <c r="C104" s="74">
        <v>2</v>
      </c>
      <c r="D104" s="75" t="s">
        <v>40</v>
      </c>
      <c r="E104" s="74">
        <v>2</v>
      </c>
      <c r="F104" s="75" t="s">
        <v>39</v>
      </c>
    </row>
    <row r="105" spans="1:6" ht="51" hidden="1" x14ac:dyDescent="0.2">
      <c r="A105" s="73" t="s">
        <v>230</v>
      </c>
      <c r="B105" s="73" t="s">
        <v>140</v>
      </c>
      <c r="C105" s="73" t="s">
        <v>7</v>
      </c>
      <c r="D105" s="76" t="s">
        <v>259</v>
      </c>
      <c r="E105" s="73" t="s">
        <v>7</v>
      </c>
      <c r="F105" s="76" t="s">
        <v>259</v>
      </c>
    </row>
    <row r="106" spans="1:6" hidden="1" x14ac:dyDescent="0.2">
      <c r="A106" s="73">
        <v>1</v>
      </c>
      <c r="B106" s="73">
        <v>75</v>
      </c>
      <c r="C106" s="74">
        <v>2</v>
      </c>
      <c r="D106" s="75" t="s">
        <v>40</v>
      </c>
      <c r="E106" s="74">
        <v>2</v>
      </c>
      <c r="F106" s="75" t="s">
        <v>39</v>
      </c>
    </row>
    <row r="107" spans="1:6" ht="51" hidden="1" x14ac:dyDescent="0.2">
      <c r="A107" s="73" t="s">
        <v>230</v>
      </c>
      <c r="B107" s="73" t="s">
        <v>140</v>
      </c>
      <c r="C107" s="73" t="s">
        <v>7</v>
      </c>
      <c r="D107" s="76" t="s">
        <v>260</v>
      </c>
      <c r="E107" s="73" t="s">
        <v>7</v>
      </c>
      <c r="F107" s="76" t="s">
        <v>260</v>
      </c>
    </row>
    <row r="108" spans="1:6" hidden="1" x14ac:dyDescent="0.2">
      <c r="A108" s="73">
        <v>1</v>
      </c>
      <c r="B108" s="73">
        <v>84</v>
      </c>
      <c r="C108" s="74">
        <v>2</v>
      </c>
      <c r="D108" s="75" t="s">
        <v>40</v>
      </c>
      <c r="E108" s="74">
        <v>2</v>
      </c>
      <c r="F108" s="75" t="s">
        <v>39</v>
      </c>
    </row>
    <row r="109" spans="1:6" ht="51" hidden="1" x14ac:dyDescent="0.2">
      <c r="A109" s="73" t="s">
        <v>230</v>
      </c>
      <c r="B109" s="73" t="s">
        <v>140</v>
      </c>
      <c r="C109" s="73" t="s">
        <v>7</v>
      </c>
      <c r="D109" s="76" t="s">
        <v>261</v>
      </c>
      <c r="E109" s="73" t="s">
        <v>7</v>
      </c>
      <c r="F109" s="76" t="s">
        <v>261</v>
      </c>
    </row>
    <row r="110" spans="1:6" hidden="1" x14ac:dyDescent="0.2">
      <c r="A110" s="73">
        <v>1</v>
      </c>
      <c r="B110" s="73">
        <v>93</v>
      </c>
      <c r="C110" s="74">
        <v>2</v>
      </c>
      <c r="D110" s="75" t="s">
        <v>40</v>
      </c>
      <c r="E110" s="74">
        <v>2</v>
      </c>
      <c r="F110" s="75" t="s">
        <v>39</v>
      </c>
    </row>
    <row r="111" spans="1:6" ht="51" hidden="1" x14ac:dyDescent="0.2">
      <c r="A111" s="73" t="s">
        <v>230</v>
      </c>
      <c r="B111" s="73" t="s">
        <v>140</v>
      </c>
      <c r="C111" s="73" t="s">
        <v>7</v>
      </c>
      <c r="D111" s="76" t="s">
        <v>262</v>
      </c>
      <c r="E111" s="73" t="s">
        <v>7</v>
      </c>
      <c r="F111" s="76" t="s">
        <v>262</v>
      </c>
    </row>
    <row r="112" spans="1:6" hidden="1" x14ac:dyDescent="0.2">
      <c r="A112" s="73">
        <v>1</v>
      </c>
      <c r="B112" s="73">
        <v>102</v>
      </c>
      <c r="C112" s="71"/>
    </row>
    <row r="113" spans="1:3" hidden="1" x14ac:dyDescent="0.2">
      <c r="A113" s="73" t="s">
        <v>230</v>
      </c>
      <c r="B113" s="73" t="s">
        <v>140</v>
      </c>
      <c r="C113" s="71"/>
    </row>
    <row r="114" spans="1:3" hidden="1" x14ac:dyDescent="0.2"/>
  </sheetData>
  <sheetProtection password="CC6B" sheet="1" objects="1" scenarios="1" selectLockedCells="1" sort="0" autoFilter="0" pivotTables="0" selectUnlockedCells="1"/>
  <mergeCells count="164">
    <mergeCell ref="T2:Y2"/>
    <mergeCell ref="T4:Y4"/>
    <mergeCell ref="T5:U5"/>
    <mergeCell ref="T6:U6"/>
    <mergeCell ref="W6:X6"/>
    <mergeCell ref="A75:C75"/>
    <mergeCell ref="A3:A9"/>
    <mergeCell ref="B3:B9"/>
    <mergeCell ref="C3:C9"/>
    <mergeCell ref="D3:H4"/>
    <mergeCell ref="K3:L8"/>
    <mergeCell ref="M3:S3"/>
    <mergeCell ref="O6:O9"/>
    <mergeCell ref="P6:P9"/>
    <mergeCell ref="Q6:Q9"/>
    <mergeCell ref="R6:R9"/>
    <mergeCell ref="D5:D9"/>
    <mergeCell ref="E5:E9"/>
    <mergeCell ref="G5:G9"/>
    <mergeCell ref="H5:H9"/>
    <mergeCell ref="N5:N9"/>
    <mergeCell ref="O5:R5"/>
    <mergeCell ref="J3:J9"/>
    <mergeCell ref="I3:I9"/>
    <mergeCell ref="B66:C66"/>
    <mergeCell ref="A74:C74"/>
    <mergeCell ref="B58:C58"/>
    <mergeCell ref="B11:C11"/>
    <mergeCell ref="B12:C12"/>
    <mergeCell ref="B17:H17"/>
    <mergeCell ref="B44:H44"/>
    <mergeCell ref="B53:H53"/>
    <mergeCell ref="B49:H49"/>
    <mergeCell ref="B65:C65"/>
    <mergeCell ref="B69:H69"/>
    <mergeCell ref="A1:AZ1"/>
    <mergeCell ref="AY3:AY9"/>
    <mergeCell ref="AZ3:AZ9"/>
    <mergeCell ref="Z4:AE4"/>
    <mergeCell ref="AF4:AK4"/>
    <mergeCell ref="AS8:AV8"/>
    <mergeCell ref="AU6:AW6"/>
    <mergeCell ref="Z6:AA6"/>
    <mergeCell ref="AC6:AD6"/>
    <mergeCell ref="AF6:AG6"/>
    <mergeCell ref="AL6:AM6"/>
    <mergeCell ref="AO6:AP6"/>
    <mergeCell ref="AR6:AS6"/>
    <mergeCell ref="Z2:AE2"/>
    <mergeCell ref="AF2:AK2"/>
    <mergeCell ref="AL2:AQ2"/>
    <mergeCell ref="AR2:AX2"/>
    <mergeCell ref="AL7:AM7"/>
    <mergeCell ref="AL8:AN8"/>
    <mergeCell ref="AF7:AG7"/>
    <mergeCell ref="AF8:AH8"/>
    <mergeCell ref="AL4:AQ4"/>
    <mergeCell ref="AR4:AX4"/>
    <mergeCell ref="Z5:AA5"/>
    <mergeCell ref="B81:L81"/>
    <mergeCell ref="M81:S81"/>
    <mergeCell ref="Z81:AE81"/>
    <mergeCell ref="AF81:AK81"/>
    <mergeCell ref="AL81:AQ81"/>
    <mergeCell ref="AR81:AX81"/>
    <mergeCell ref="T81:Y81"/>
    <mergeCell ref="T82:Y82"/>
    <mergeCell ref="B76:H76"/>
    <mergeCell ref="B77:H77"/>
    <mergeCell ref="B78:H78"/>
    <mergeCell ref="B79:H79"/>
    <mergeCell ref="B80:H80"/>
    <mergeCell ref="B83:L83"/>
    <mergeCell ref="M83:S83"/>
    <mergeCell ref="Z83:AE83"/>
    <mergeCell ref="AF83:AK83"/>
    <mergeCell ref="AL83:AQ83"/>
    <mergeCell ref="AR83:AX83"/>
    <mergeCell ref="T83:Y83"/>
    <mergeCell ref="T84:Y84"/>
    <mergeCell ref="B82:L82"/>
    <mergeCell ref="M82:S82"/>
    <mergeCell ref="Z82:AE82"/>
    <mergeCell ref="AF82:AK82"/>
    <mergeCell ref="AL82:AQ82"/>
    <mergeCell ref="AR82:AX82"/>
    <mergeCell ref="B84:L84"/>
    <mergeCell ref="M84:S84"/>
    <mergeCell ref="Z84:AE84"/>
    <mergeCell ref="AF84:AK84"/>
    <mergeCell ref="AL84:AQ84"/>
    <mergeCell ref="AR84:AX84"/>
    <mergeCell ref="AL87:AQ87"/>
    <mergeCell ref="AP85:AQ85"/>
    <mergeCell ref="AR85:AS85"/>
    <mergeCell ref="AT85:AU85"/>
    <mergeCell ref="T85:U85"/>
    <mergeCell ref="V85:W85"/>
    <mergeCell ref="X85:Y85"/>
    <mergeCell ref="AR87:AX87"/>
    <mergeCell ref="T87:Y87"/>
    <mergeCell ref="AV85:AX85"/>
    <mergeCell ref="AD85:AE85"/>
    <mergeCell ref="AF85:AG85"/>
    <mergeCell ref="AH85:AI85"/>
    <mergeCell ref="AJ85:AK85"/>
    <mergeCell ref="AL85:AM85"/>
    <mergeCell ref="AN85:AO85"/>
    <mergeCell ref="Z85:AA85"/>
    <mergeCell ref="AB85:AC85"/>
    <mergeCell ref="B85:L85"/>
    <mergeCell ref="M85:N85"/>
    <mergeCell ref="O85:Q85"/>
    <mergeCell ref="R85:S85"/>
    <mergeCell ref="A91:B91"/>
    <mergeCell ref="C91:D91"/>
    <mergeCell ref="E91:F91"/>
    <mergeCell ref="B87:L87"/>
    <mergeCell ref="M87:S87"/>
    <mergeCell ref="R86:S86"/>
    <mergeCell ref="B86:L86"/>
    <mergeCell ref="M86:N86"/>
    <mergeCell ref="O86:Q86"/>
    <mergeCell ref="T88:Y88"/>
    <mergeCell ref="B88:L88"/>
    <mergeCell ref="AV86:AX86"/>
    <mergeCell ref="AD86:AE86"/>
    <mergeCell ref="AF86:AG86"/>
    <mergeCell ref="AH86:AI86"/>
    <mergeCell ref="M88:S88"/>
    <mergeCell ref="Z88:AE88"/>
    <mergeCell ref="AF88:AK88"/>
    <mergeCell ref="AL88:AQ88"/>
    <mergeCell ref="AR88:AX88"/>
    <mergeCell ref="T86:U86"/>
    <mergeCell ref="V86:W86"/>
    <mergeCell ref="X86:Y86"/>
    <mergeCell ref="Z86:AA86"/>
    <mergeCell ref="AB86:AC86"/>
    <mergeCell ref="AR86:AS86"/>
    <mergeCell ref="AT86:AU86"/>
    <mergeCell ref="AP86:AQ86"/>
    <mergeCell ref="AJ86:AK86"/>
    <mergeCell ref="AL86:AM86"/>
    <mergeCell ref="AN86:AO86"/>
    <mergeCell ref="Z87:AE87"/>
    <mergeCell ref="AF87:AK87"/>
    <mergeCell ref="Z7:AA7"/>
    <mergeCell ref="Z8:AB8"/>
    <mergeCell ref="T7:U7"/>
    <mergeCell ref="T8:V8"/>
    <mergeCell ref="T3:AX3"/>
    <mergeCell ref="B30:H30"/>
    <mergeCell ref="B31:H31"/>
    <mergeCell ref="B45:H45"/>
    <mergeCell ref="B50:H50"/>
    <mergeCell ref="B32:H32"/>
    <mergeCell ref="AF5:AG5"/>
    <mergeCell ref="AL5:AM5"/>
    <mergeCell ref="AR5:AS5"/>
    <mergeCell ref="AJ6:AK6"/>
    <mergeCell ref="S5:S9"/>
    <mergeCell ref="M4:M9"/>
    <mergeCell ref="N4:S4"/>
  </mergeCells>
  <conditionalFormatting sqref="AY52 AY43 AY57">
    <cfRule type="expression" dxfId="4" priority="5" stopIfTrue="1">
      <formula>AND(M43&gt;0,AY43=0)</formula>
    </cfRule>
    <cfRule type="expression" dxfId="3" priority="6" stopIfTrue="1">
      <formula>AND(M43=0,AY43&lt;&gt;0)</formula>
    </cfRule>
  </conditionalFormatting>
  <conditionalFormatting sqref="AY48">
    <cfRule type="expression" dxfId="2" priority="1" stopIfTrue="1">
      <formula>AND(M48&gt;0,AY48=0)</formula>
    </cfRule>
    <cfRule type="expression" dxfId="1" priority="2" stopIfTrue="1">
      <formula>AND(M48=0,AY48&lt;&gt;0)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84"/>
  <sheetViews>
    <sheetView showZeros="0" topLeftCell="B45" zoomScale="85" zoomScaleNormal="85" workbookViewId="0">
      <selection activeCell="V68" sqref="V68"/>
    </sheetView>
  </sheetViews>
  <sheetFormatPr defaultRowHeight="12.75" x14ac:dyDescent="0.2"/>
  <cols>
    <col min="1" max="1" width="17.6640625" hidden="1" customWidth="1"/>
    <col min="2" max="2" width="36.5" customWidth="1"/>
    <col min="3" max="3" width="16.83203125" hidden="1" customWidth="1"/>
    <col min="4" max="4" width="6" customWidth="1"/>
    <col min="5" max="5" width="6.33203125" customWidth="1"/>
    <col min="6" max="6" width="5.6640625" customWidth="1"/>
    <col min="7" max="8" width="5.5" customWidth="1"/>
    <col min="9" max="9" width="6.6640625" hidden="1" customWidth="1"/>
    <col min="10" max="10" width="7.5" hidden="1" customWidth="1"/>
    <col min="11" max="11" width="8.33203125" customWidth="1"/>
    <col min="12" max="12" width="8.33203125" hidden="1" customWidth="1"/>
    <col min="13" max="14" width="7.83203125" hidden="1" customWidth="1"/>
    <col min="15" max="15" width="7.1640625" hidden="1" customWidth="1"/>
    <col min="16" max="17" width="7.6640625" hidden="1" customWidth="1"/>
    <col min="18" max="18" width="6.33203125" hidden="1" customWidth="1"/>
    <col min="19" max="19" width="7.1640625" hidden="1" customWidth="1"/>
    <col min="21" max="21" width="5.83203125" customWidth="1"/>
    <col min="22" max="22" width="5.1640625" customWidth="1"/>
    <col min="23" max="23" width="4.33203125" customWidth="1"/>
    <col min="24" max="24" width="4.6640625" customWidth="1"/>
    <col min="25" max="26" width="5" customWidth="1"/>
    <col min="27" max="27" width="40" customWidth="1"/>
  </cols>
  <sheetData>
    <row r="1" spans="1:27" ht="30.75" x14ac:dyDescent="0.2">
      <c r="B1" s="889" t="s">
        <v>390</v>
      </c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</row>
    <row r="3" spans="1:27" ht="12.75" customHeight="1" x14ac:dyDescent="0.2">
      <c r="A3" s="862" t="s">
        <v>155</v>
      </c>
      <c r="B3" s="865" t="s">
        <v>69</v>
      </c>
      <c r="C3" s="862" t="s">
        <v>70</v>
      </c>
      <c r="D3" s="839" t="s">
        <v>4</v>
      </c>
      <c r="E3" s="771"/>
      <c r="F3" s="771"/>
      <c r="G3" s="771"/>
      <c r="H3" s="771"/>
      <c r="I3" s="868" t="s">
        <v>207</v>
      </c>
      <c r="J3" s="869"/>
      <c r="K3" s="874" t="s">
        <v>2</v>
      </c>
      <c r="L3" s="758"/>
      <c r="M3" s="758"/>
      <c r="N3" s="758"/>
      <c r="O3" s="758"/>
      <c r="P3" s="758"/>
      <c r="Q3" s="758"/>
      <c r="R3" s="758"/>
      <c r="S3" s="758"/>
      <c r="T3" s="758"/>
      <c r="U3" s="839" t="s">
        <v>4</v>
      </c>
      <c r="V3" s="771"/>
      <c r="W3" s="771"/>
      <c r="X3" s="771"/>
      <c r="Y3" s="771"/>
      <c r="Z3" s="441"/>
      <c r="AA3" s="887" t="s">
        <v>69</v>
      </c>
    </row>
    <row r="4" spans="1:27" x14ac:dyDescent="0.2">
      <c r="A4" s="863"/>
      <c r="B4" s="866"/>
      <c r="C4" s="863"/>
      <c r="D4" s="833"/>
      <c r="E4" s="776"/>
      <c r="F4" s="776"/>
      <c r="G4" s="776"/>
      <c r="H4" s="776"/>
      <c r="I4" s="870"/>
      <c r="J4" s="871"/>
      <c r="K4" s="779" t="s">
        <v>389</v>
      </c>
      <c r="L4" s="781" t="s">
        <v>3</v>
      </c>
      <c r="M4" s="781"/>
      <c r="N4" s="781"/>
      <c r="O4" s="781"/>
      <c r="P4" s="781"/>
      <c r="Q4" s="781"/>
      <c r="R4" s="781"/>
      <c r="S4" s="782"/>
      <c r="T4" s="779" t="s">
        <v>388</v>
      </c>
      <c r="U4" s="833"/>
      <c r="V4" s="776"/>
      <c r="W4" s="776"/>
      <c r="X4" s="776"/>
      <c r="Y4" s="776"/>
      <c r="Z4" s="441"/>
      <c r="AA4" s="887"/>
    </row>
    <row r="5" spans="1:27" ht="12.75" customHeight="1" x14ac:dyDescent="0.2">
      <c r="A5" s="863"/>
      <c r="B5" s="866"/>
      <c r="C5" s="863"/>
      <c r="D5" s="675" t="s">
        <v>62</v>
      </c>
      <c r="E5" s="675" t="s">
        <v>526</v>
      </c>
      <c r="F5" s="435"/>
      <c r="G5" s="675" t="s">
        <v>527</v>
      </c>
      <c r="H5" s="677" t="s">
        <v>528</v>
      </c>
      <c r="I5" s="870"/>
      <c r="J5" s="871"/>
      <c r="K5" s="780"/>
      <c r="L5" s="857" t="s">
        <v>76</v>
      </c>
      <c r="M5" s="782" t="s">
        <v>77</v>
      </c>
      <c r="N5" s="846"/>
      <c r="O5" s="846"/>
      <c r="P5" s="846"/>
      <c r="Q5" s="847"/>
      <c r="R5" s="857" t="s">
        <v>136</v>
      </c>
      <c r="S5" s="886" t="s">
        <v>78</v>
      </c>
      <c r="T5" s="780"/>
      <c r="U5" s="675" t="s">
        <v>62</v>
      </c>
      <c r="V5" s="675" t="s">
        <v>526</v>
      </c>
      <c r="W5" s="435"/>
      <c r="X5" s="675" t="s">
        <v>527</v>
      </c>
      <c r="Y5" s="677" t="s">
        <v>528</v>
      </c>
      <c r="Z5" s="437"/>
      <c r="AA5" s="887"/>
    </row>
    <row r="6" spans="1:27" x14ac:dyDescent="0.2">
      <c r="A6" s="863"/>
      <c r="B6" s="866"/>
      <c r="C6" s="863"/>
      <c r="D6" s="676"/>
      <c r="E6" s="676"/>
      <c r="F6" s="436"/>
      <c r="G6" s="676"/>
      <c r="H6" s="678"/>
      <c r="I6" s="870"/>
      <c r="J6" s="871"/>
      <c r="K6" s="780"/>
      <c r="L6" s="859"/>
      <c r="M6" s="857" t="s">
        <v>64</v>
      </c>
      <c r="N6" s="857" t="s">
        <v>266</v>
      </c>
      <c r="O6" s="857" t="s">
        <v>65</v>
      </c>
      <c r="P6" s="857" t="s">
        <v>210</v>
      </c>
      <c r="Q6" s="857" t="s">
        <v>267</v>
      </c>
      <c r="R6" s="858"/>
      <c r="S6" s="886"/>
      <c r="T6" s="780"/>
      <c r="U6" s="676"/>
      <c r="V6" s="676"/>
      <c r="W6" s="436"/>
      <c r="X6" s="676"/>
      <c r="Y6" s="678"/>
      <c r="Z6" s="437"/>
      <c r="AA6" s="887"/>
    </row>
    <row r="7" spans="1:27" x14ac:dyDescent="0.2">
      <c r="A7" s="863"/>
      <c r="B7" s="866"/>
      <c r="C7" s="863"/>
      <c r="D7" s="676"/>
      <c r="E7" s="676"/>
      <c r="F7" s="436"/>
      <c r="G7" s="676"/>
      <c r="H7" s="678"/>
      <c r="I7" s="870"/>
      <c r="J7" s="871"/>
      <c r="K7" s="780"/>
      <c r="L7" s="859"/>
      <c r="M7" s="858"/>
      <c r="N7" s="858"/>
      <c r="O7" s="858"/>
      <c r="P7" s="858"/>
      <c r="Q7" s="858"/>
      <c r="R7" s="858"/>
      <c r="S7" s="886"/>
      <c r="T7" s="780"/>
      <c r="U7" s="676"/>
      <c r="V7" s="676"/>
      <c r="W7" s="436"/>
      <c r="X7" s="676"/>
      <c r="Y7" s="678"/>
      <c r="Z7" s="437"/>
      <c r="AA7" s="887"/>
    </row>
    <row r="8" spans="1:27" x14ac:dyDescent="0.2">
      <c r="A8" s="863"/>
      <c r="B8" s="866"/>
      <c r="C8" s="863"/>
      <c r="D8" s="676"/>
      <c r="E8" s="676"/>
      <c r="F8" s="436"/>
      <c r="G8" s="676"/>
      <c r="H8" s="678"/>
      <c r="I8" s="872"/>
      <c r="J8" s="873"/>
      <c r="K8" s="780"/>
      <c r="L8" s="859"/>
      <c r="M8" s="858"/>
      <c r="N8" s="858"/>
      <c r="O8" s="858"/>
      <c r="P8" s="858"/>
      <c r="Q8" s="858"/>
      <c r="R8" s="858"/>
      <c r="S8" s="886"/>
      <c r="T8" s="780"/>
      <c r="U8" s="676"/>
      <c r="V8" s="676"/>
      <c r="W8" s="436"/>
      <c r="X8" s="676"/>
      <c r="Y8" s="678"/>
      <c r="Z8" s="437"/>
      <c r="AA8" s="887"/>
    </row>
    <row r="9" spans="1:27" ht="135.75" thickBot="1" x14ac:dyDescent="0.25">
      <c r="A9" s="864"/>
      <c r="B9" s="867"/>
      <c r="C9" s="864"/>
      <c r="D9" s="676"/>
      <c r="E9" s="676"/>
      <c r="F9" s="436" t="s">
        <v>63</v>
      </c>
      <c r="G9" s="676"/>
      <c r="H9" s="678"/>
      <c r="I9" s="63" t="s">
        <v>164</v>
      </c>
      <c r="J9" s="64" t="s">
        <v>228</v>
      </c>
      <c r="K9" s="780"/>
      <c r="L9" s="882"/>
      <c r="M9" s="883"/>
      <c r="N9" s="883"/>
      <c r="O9" s="883"/>
      <c r="P9" s="883"/>
      <c r="Q9" s="883"/>
      <c r="R9" s="883"/>
      <c r="S9" s="886"/>
      <c r="T9" s="780"/>
      <c r="U9" s="676"/>
      <c r="V9" s="676"/>
      <c r="W9" s="436" t="s">
        <v>63</v>
      </c>
      <c r="X9" s="676"/>
      <c r="Y9" s="678"/>
      <c r="Z9" s="437"/>
      <c r="AA9" s="888"/>
    </row>
    <row r="10" spans="1:27" ht="13.5" thickBot="1" x14ac:dyDescent="0.25">
      <c r="A10" s="167"/>
      <c r="B10" s="875" t="s">
        <v>344</v>
      </c>
      <c r="C10" s="876"/>
      <c r="D10" s="170"/>
      <c r="E10" s="170"/>
      <c r="F10" s="170"/>
      <c r="G10" s="170"/>
      <c r="H10" s="170"/>
      <c r="I10" s="164">
        <v>2970</v>
      </c>
      <c r="J10" s="168">
        <v>1980</v>
      </c>
      <c r="K10" s="240">
        <f>'Учебный план (очная)'!K28</f>
        <v>3154</v>
      </c>
      <c r="L10" s="165" t="e">
        <f t="shared" ref="L10:S10" si="0">L11+L16+L20</f>
        <v>#REF!</v>
      </c>
      <c r="M10" s="165" t="e">
        <f t="shared" si="0"/>
        <v>#REF!</v>
      </c>
      <c r="N10" s="165" t="e">
        <f t="shared" si="0"/>
        <v>#REF!</v>
      </c>
      <c r="O10" s="165" t="e">
        <f t="shared" si="0"/>
        <v>#REF!</v>
      </c>
      <c r="P10" s="165" t="e">
        <f t="shared" si="0"/>
        <v>#REF!</v>
      </c>
      <c r="Q10" s="165" t="e">
        <f t="shared" si="0"/>
        <v>#REF!</v>
      </c>
      <c r="R10" s="165" t="e">
        <f t="shared" si="0"/>
        <v>#VALUE!</v>
      </c>
      <c r="S10" s="166" t="e">
        <f t="shared" si="0"/>
        <v>#REF!</v>
      </c>
      <c r="T10" s="241">
        <f>'Учебный план (заочная)'!M11</f>
        <v>2975</v>
      </c>
      <c r="U10" s="242"/>
      <c r="V10" s="242"/>
      <c r="W10" s="242"/>
      <c r="X10" s="242"/>
      <c r="Y10" s="242"/>
      <c r="Z10" s="242"/>
      <c r="AA10" s="243"/>
    </row>
    <row r="11" spans="1:27" x14ac:dyDescent="0.2">
      <c r="A11" s="169" t="s">
        <v>157</v>
      </c>
      <c r="B11" s="877" t="s">
        <v>158</v>
      </c>
      <c r="C11" s="878"/>
      <c r="D11" s="244"/>
      <c r="E11" s="244"/>
      <c r="F11" s="244"/>
      <c r="G11" s="244"/>
      <c r="H11" s="244"/>
      <c r="I11" s="245">
        <v>612</v>
      </c>
      <c r="J11" s="246">
        <v>408</v>
      </c>
      <c r="K11" s="239">
        <f>'Учебный план (очная)'!K29</f>
        <v>612</v>
      </c>
      <c r="L11" s="247">
        <f t="shared" ref="L11:S11" si="1">SUM(L12:L15)</f>
        <v>14</v>
      </c>
      <c r="M11" s="247">
        <f t="shared" si="1"/>
        <v>3</v>
      </c>
      <c r="N11" s="247">
        <f t="shared" si="1"/>
        <v>10</v>
      </c>
      <c r="O11" s="247">
        <f t="shared" si="1"/>
        <v>0</v>
      </c>
      <c r="P11" s="247">
        <f t="shared" si="1"/>
        <v>0</v>
      </c>
      <c r="Q11" s="247">
        <f t="shared" si="1"/>
        <v>1</v>
      </c>
      <c r="R11" s="247" t="e">
        <f t="shared" si="1"/>
        <v>#VALUE!</v>
      </c>
      <c r="S11" s="246" t="e">
        <f t="shared" si="1"/>
        <v>#REF!</v>
      </c>
      <c r="T11" s="248">
        <f>'Учебный план (заочная)'!M12</f>
        <v>433</v>
      </c>
      <c r="U11" s="249"/>
      <c r="V11" s="249"/>
      <c r="W11" s="249"/>
      <c r="X11" s="249"/>
      <c r="Y11" s="249"/>
      <c r="Z11" s="249"/>
      <c r="AA11" s="250"/>
    </row>
    <row r="12" spans="1:27" x14ac:dyDescent="0.2">
      <c r="A12" s="133" t="s">
        <v>159</v>
      </c>
      <c r="B12" s="144" t="str">
        <f>'Учебный план (очная)'!B30</f>
        <v>Основы философии</v>
      </c>
      <c r="C12" s="144">
        <f>'Учебный план (очная)'!C30</f>
        <v>0</v>
      </c>
      <c r="D12" s="144">
        <f>'Учебный план (очная)'!D30</f>
        <v>0</v>
      </c>
      <c r="E12" s="144" t="str">
        <f>'Учебный план (очная)'!E30</f>
        <v>3</v>
      </c>
      <c r="F12" s="144">
        <f>'Учебный план (очная)'!F30</f>
        <v>0</v>
      </c>
      <c r="G12" s="144">
        <f>'Учебный план (очная)'!G30</f>
        <v>0</v>
      </c>
      <c r="H12" s="144">
        <f>'Учебный план (очная)'!H30</f>
        <v>0</v>
      </c>
      <c r="I12" s="136"/>
      <c r="J12" s="140">
        <v>48</v>
      </c>
      <c r="K12" s="240">
        <f>'Учебный план (очная)'!K30</f>
        <v>61</v>
      </c>
      <c r="L12" s="138">
        <f>SUM(M12:Q12)</f>
        <v>1</v>
      </c>
      <c r="M12" s="138">
        <f t="shared" ref="M12:Q15" si="2">U12+AC12+AK12+AS12+BA12+BI12+BQ12+BY12+CG12+CO12</f>
        <v>0</v>
      </c>
      <c r="N12" s="138">
        <f t="shared" si="2"/>
        <v>1</v>
      </c>
      <c r="O12" s="138">
        <f t="shared" si="2"/>
        <v>0</v>
      </c>
      <c r="P12" s="138">
        <f t="shared" si="2"/>
        <v>0</v>
      </c>
      <c r="Q12" s="138">
        <f t="shared" si="2"/>
        <v>0</v>
      </c>
      <c r="R12" s="138" t="e">
        <f>AA12+AH12+AP12+AX12+BF12+BN12+BV12+CD12+CL12+CT12</f>
        <v>#VALUE!</v>
      </c>
      <c r="S12" s="160" t="e">
        <f>#REF!+AI12+AQ12+AY12+BG12+BO12+BW12+CE12+CM12+CU12</f>
        <v>#REF!</v>
      </c>
      <c r="T12" s="241">
        <f>'Учебный план (заочная)'!M13</f>
        <v>61</v>
      </c>
      <c r="U12" s="242">
        <f>'Учебный план (заочная)'!D13</f>
        <v>0</v>
      </c>
      <c r="V12" s="242" t="str">
        <f>'Учебный план (заочная)'!E13</f>
        <v>1</v>
      </c>
      <c r="W12" s="242">
        <f>'Учебный план (заочная)'!F13</f>
        <v>0</v>
      </c>
      <c r="X12" s="242">
        <f>'Учебный план (заочная)'!G13</f>
        <v>0</v>
      </c>
      <c r="Y12" s="242">
        <f>'Учебный план (заочная)'!H13</f>
        <v>0</v>
      </c>
      <c r="Z12" s="242"/>
      <c r="AA12" s="243" t="str">
        <f>'Учебный план (заочная)'!B13</f>
        <v>Основы философии</v>
      </c>
    </row>
    <row r="13" spans="1:27" x14ac:dyDescent="0.2">
      <c r="A13" s="133" t="s">
        <v>160</v>
      </c>
      <c r="B13" s="144" t="str">
        <f>'Учебный план (очная)'!B31</f>
        <v>История</v>
      </c>
      <c r="C13" s="144">
        <f>'Учебный план (очная)'!C31</f>
        <v>0</v>
      </c>
      <c r="D13" s="144">
        <f>'Учебный план (очная)'!D31</f>
        <v>0</v>
      </c>
      <c r="E13" s="144" t="str">
        <f>'Учебный план (очная)'!E31</f>
        <v>3</v>
      </c>
      <c r="F13" s="144">
        <f>'Учебный план (очная)'!F31</f>
        <v>0</v>
      </c>
      <c r="G13" s="144">
        <f>'Учебный план (очная)'!G31</f>
        <v>0</v>
      </c>
      <c r="H13" s="144">
        <f>'Учебный план (очная)'!H31</f>
        <v>0</v>
      </c>
      <c r="I13" s="136"/>
      <c r="J13" s="140">
        <v>48</v>
      </c>
      <c r="K13" s="240">
        <f>'Учебный план (очная)'!K31</f>
        <v>61</v>
      </c>
      <c r="L13" s="138">
        <f t="shared" ref="L13:L15" si="3">SUM(M13:Q13)</f>
        <v>1</v>
      </c>
      <c r="M13" s="138">
        <f t="shared" si="2"/>
        <v>0</v>
      </c>
      <c r="N13" s="138">
        <f t="shared" si="2"/>
        <v>1</v>
      </c>
      <c r="O13" s="138">
        <f t="shared" si="2"/>
        <v>0</v>
      </c>
      <c r="P13" s="138">
        <f t="shared" si="2"/>
        <v>0</v>
      </c>
      <c r="Q13" s="138">
        <f t="shared" si="2"/>
        <v>0</v>
      </c>
      <c r="R13" s="138" t="e">
        <f>AA13+AH13+AP13+AX13+BF13+BN13+BV13+CD13+CL13+CT13</f>
        <v>#VALUE!</v>
      </c>
      <c r="S13" s="160" t="e">
        <f>#REF!+AI13+AQ13+AY13+BG13+BO13+BW13+CE13+CM13+CU13</f>
        <v>#REF!</v>
      </c>
      <c r="T13" s="241">
        <f>'Учебный план (заочная)'!M14</f>
        <v>61</v>
      </c>
      <c r="U13" s="242">
        <f>'Учебный план (заочная)'!D14</f>
        <v>0</v>
      </c>
      <c r="V13" s="242" t="str">
        <f>'Учебный план (заочная)'!E14</f>
        <v>1</v>
      </c>
      <c r="W13" s="242">
        <f>'Учебный план (заочная)'!F14</f>
        <v>0</v>
      </c>
      <c r="X13" s="242">
        <f>'Учебный план (заочная)'!G14</f>
        <v>0</v>
      </c>
      <c r="Y13" s="242">
        <f>'Учебный план (заочная)'!H14</f>
        <v>0</v>
      </c>
      <c r="Z13" s="242"/>
      <c r="AA13" s="243" t="str">
        <f>'Учебный план (заочная)'!B14</f>
        <v>История</v>
      </c>
    </row>
    <row r="14" spans="1:27" x14ac:dyDescent="0.2">
      <c r="A14" s="133" t="s">
        <v>161</v>
      </c>
      <c r="B14" s="144" t="str">
        <f>'Учебный план (очная)'!B32</f>
        <v>Иностранный язык</v>
      </c>
      <c r="C14" s="144">
        <f>'Учебный план (очная)'!C32</f>
        <v>0</v>
      </c>
      <c r="D14" s="144" t="str">
        <f>'Учебный план (очная)'!D32</f>
        <v>5</v>
      </c>
      <c r="E14" s="144" t="str">
        <f>'Учебный план (очная)'!E32</f>
        <v>6</v>
      </c>
      <c r="F14" s="144">
        <f>'Учебный план (очная)'!F32</f>
        <v>0</v>
      </c>
      <c r="G14" s="144">
        <f>'Учебный план (очная)'!G32</f>
        <v>0</v>
      </c>
      <c r="H14" s="144" t="str">
        <f>'Учебный план (очная)'!H32</f>
        <v>3,4</v>
      </c>
      <c r="I14" s="136"/>
      <c r="J14" s="140">
        <v>156</v>
      </c>
      <c r="K14" s="240">
        <f>'Учебный план (очная)'!K32</f>
        <v>178</v>
      </c>
      <c r="L14" s="138">
        <f t="shared" si="3"/>
        <v>8</v>
      </c>
      <c r="M14" s="138">
        <f t="shared" si="2"/>
        <v>3</v>
      </c>
      <c r="N14" s="138">
        <f t="shared" si="2"/>
        <v>4</v>
      </c>
      <c r="O14" s="138">
        <f t="shared" si="2"/>
        <v>0</v>
      </c>
      <c r="P14" s="138">
        <f t="shared" si="2"/>
        <v>0</v>
      </c>
      <c r="Q14" s="138">
        <f t="shared" si="2"/>
        <v>1</v>
      </c>
      <c r="R14" s="138" t="e">
        <f>AA14+AH14+AP14+AX14+BF14+BN14+BV14+CD14+CL14+CT14</f>
        <v>#VALUE!</v>
      </c>
      <c r="S14" s="160" t="e">
        <f>#REF!+AI14+AQ14+AY14+BG14+BO14+BW14+CE14+CM14+CU14</f>
        <v>#REF!</v>
      </c>
      <c r="T14" s="241">
        <f>'Учебный план (заочная)'!M15</f>
        <v>178</v>
      </c>
      <c r="U14" s="242" t="str">
        <f>'Учебный план (заочная)'!D15</f>
        <v>3</v>
      </c>
      <c r="V14" s="242" t="str">
        <f>'Учебный план (заочная)'!E15</f>
        <v>4</v>
      </c>
      <c r="W14" s="242">
        <f>'Учебный план (заочная)'!F15</f>
        <v>0</v>
      </c>
      <c r="X14" s="242">
        <f>'Учебный план (заочная)'!G15</f>
        <v>0</v>
      </c>
      <c r="Y14" s="242" t="str">
        <f>'Учебный план (заочная)'!H15</f>
        <v>1,2</v>
      </c>
      <c r="Z14" s="242"/>
      <c r="AA14" s="243" t="str">
        <f>'Учебный план (заочная)'!B15</f>
        <v>Иностранный язык</v>
      </c>
    </row>
    <row r="15" spans="1:27" ht="25.5" x14ac:dyDescent="0.2">
      <c r="A15" s="115" t="s">
        <v>162</v>
      </c>
      <c r="B15" s="144" t="str">
        <f>'Учебный план (очная)'!B33</f>
        <v>Физическая культура</v>
      </c>
      <c r="C15" s="144">
        <f>'Учебный план (очная)'!C33</f>
        <v>0</v>
      </c>
      <c r="D15" s="144">
        <f>'Учебный план (очная)'!D33</f>
        <v>0</v>
      </c>
      <c r="E15" s="144">
        <f>'Учебный план (очная)'!E33</f>
        <v>0</v>
      </c>
      <c r="F15" s="144" t="str">
        <f>'Учебный план (очная)'!F33</f>
        <v>3,4,5,6,7,8</v>
      </c>
      <c r="G15" s="144">
        <f>'Учебный план (очная)'!G33</f>
        <v>0</v>
      </c>
      <c r="H15" s="144">
        <f>'Учебный план (очная)'!H33</f>
        <v>0</v>
      </c>
      <c r="I15" s="117">
        <v>312</v>
      </c>
      <c r="J15" s="119">
        <v>156</v>
      </c>
      <c r="K15" s="240">
        <f>'Учебный план (очная)'!K33</f>
        <v>312</v>
      </c>
      <c r="L15" s="138">
        <f t="shared" si="3"/>
        <v>4</v>
      </c>
      <c r="M15" s="118">
        <f t="shared" si="2"/>
        <v>0</v>
      </c>
      <c r="N15" s="138">
        <f t="shared" si="2"/>
        <v>4</v>
      </c>
      <c r="O15" s="138">
        <f t="shared" si="2"/>
        <v>0</v>
      </c>
      <c r="P15" s="118">
        <f t="shared" si="2"/>
        <v>0</v>
      </c>
      <c r="Q15" s="118">
        <f t="shared" si="2"/>
        <v>0</v>
      </c>
      <c r="R15" s="118" t="e">
        <f>AA15+AH15+AP15+AX15+BF15+BN15+BV15+CD15+CL15+CT15</f>
        <v>#VALUE!</v>
      </c>
      <c r="S15" s="171" t="e">
        <f>#REF!+AI15+AQ15+AY15+BG15+BO15+BW15+CE15+CM15+CU15</f>
        <v>#REF!</v>
      </c>
      <c r="T15" s="241">
        <f>'Учебный план (заочная)'!M16</f>
        <v>312</v>
      </c>
      <c r="U15" s="242">
        <f>'Учебный план (заочная)'!D16</f>
        <v>0</v>
      </c>
      <c r="V15" s="242" t="str">
        <f>'Учебный план (заочная)'!E16</f>
        <v>4</v>
      </c>
      <c r="W15" s="242">
        <f>'Учебный план (заочная)'!F16</f>
        <v>0</v>
      </c>
      <c r="X15" s="242">
        <f>'Учебный план (заочная)'!G16</f>
        <v>0</v>
      </c>
      <c r="Y15" s="242">
        <f>'Учебный план (заочная)'!H16</f>
        <v>0</v>
      </c>
      <c r="Z15" s="242"/>
      <c r="AA15" s="243" t="str">
        <f>'Учебный план (заочная)'!B16</f>
        <v>Физическая культура</v>
      </c>
    </row>
    <row r="16" spans="1:27" ht="25.5" x14ac:dyDescent="0.2">
      <c r="A16" s="120" t="s">
        <v>165</v>
      </c>
      <c r="B16" s="879" t="s">
        <v>169</v>
      </c>
      <c r="C16" s="880"/>
      <c r="D16" s="880"/>
      <c r="E16" s="880"/>
      <c r="F16" s="880"/>
      <c r="G16" s="880"/>
      <c r="H16" s="881"/>
      <c r="I16" s="251">
        <v>162</v>
      </c>
      <c r="J16" s="252">
        <v>108</v>
      </c>
      <c r="K16" s="239">
        <f>'Учебный план (очная)'!K34</f>
        <v>162</v>
      </c>
      <c r="L16" s="239">
        <f t="shared" ref="L16:S16" si="4">SUM(L17:L19)</f>
        <v>4</v>
      </c>
      <c r="M16" s="239">
        <f t="shared" si="4"/>
        <v>0</v>
      </c>
      <c r="N16" s="239">
        <f t="shared" si="4"/>
        <v>4</v>
      </c>
      <c r="O16" s="239">
        <f t="shared" si="4"/>
        <v>0</v>
      </c>
      <c r="P16" s="239">
        <f t="shared" si="4"/>
        <v>0</v>
      </c>
      <c r="Q16" s="239">
        <f t="shared" si="4"/>
        <v>0</v>
      </c>
      <c r="R16" s="239" t="e">
        <f t="shared" si="4"/>
        <v>#VALUE!</v>
      </c>
      <c r="S16" s="253" t="e">
        <f t="shared" si="4"/>
        <v>#REF!</v>
      </c>
      <c r="T16" s="241">
        <f>'Учебный план (заочная)'!M17</f>
        <v>162</v>
      </c>
      <c r="U16" s="249">
        <f>'Учебный план (заочная)'!D17</f>
        <v>0</v>
      </c>
      <c r="V16" s="249">
        <f>'Учебный план (заочная)'!E17</f>
        <v>0</v>
      </c>
      <c r="W16" s="249">
        <f>'Учебный план (заочная)'!F17</f>
        <v>0</v>
      </c>
      <c r="X16" s="249">
        <f>'Учебный план (заочная)'!G17</f>
        <v>0</v>
      </c>
      <c r="Y16" s="249">
        <f>'Учебный план (заочная)'!H17</f>
        <v>0</v>
      </c>
      <c r="Z16" s="249"/>
      <c r="AA16" s="291" t="str">
        <f>'Учебный план (заочная)'!B17</f>
        <v>Математический и общий естественнонаучный цикл</v>
      </c>
    </row>
    <row r="17" spans="1:27" x14ac:dyDescent="0.2">
      <c r="A17" s="133" t="s">
        <v>166</v>
      </c>
      <c r="B17" s="144" t="str">
        <f>'Учебный план (очная)'!B35</f>
        <v>Математика</v>
      </c>
      <c r="C17" s="144">
        <f>'Учебный план (очная)'!C35</f>
        <v>0</v>
      </c>
      <c r="D17" s="144">
        <f>'Учебный план (очная)'!D35</f>
        <v>0</v>
      </c>
      <c r="E17" s="144" t="str">
        <f>'Учебный план (очная)'!E35</f>
        <v>3</v>
      </c>
      <c r="F17" s="144">
        <f>'Учебный план (очная)'!F35</f>
        <v>0</v>
      </c>
      <c r="G17" s="144">
        <f>'Учебный план (очная)'!G35</f>
        <v>0</v>
      </c>
      <c r="H17" s="144">
        <f>'Учебный план (очная)'!H35</f>
        <v>0</v>
      </c>
      <c r="I17" s="136"/>
      <c r="J17" s="140"/>
      <c r="K17" s="240">
        <f>'Учебный план (очная)'!K35</f>
        <v>54</v>
      </c>
      <c r="L17" s="138">
        <f>SUM(M17:Q17)</f>
        <v>1</v>
      </c>
      <c r="M17" s="138">
        <f t="shared" ref="M17:Q19" si="5">U17+AC17+AK17+AS17+BA17+BI17+BQ17+BY17+CG17+CO17</f>
        <v>0</v>
      </c>
      <c r="N17" s="138">
        <f t="shared" si="5"/>
        <v>1</v>
      </c>
      <c r="O17" s="138">
        <f t="shared" si="5"/>
        <v>0</v>
      </c>
      <c r="P17" s="138">
        <f t="shared" si="5"/>
        <v>0</v>
      </c>
      <c r="Q17" s="138">
        <f t="shared" si="5"/>
        <v>0</v>
      </c>
      <c r="R17" s="138" t="e">
        <f>AA17+AH17+AP17+AX17+BF17+BN17+BV17+CD17+CL17+CT17</f>
        <v>#VALUE!</v>
      </c>
      <c r="S17" s="160" t="e">
        <f>#REF!+AI17+AQ17+AY17+BG17+BO17+BW17+CE17+CM17+CU17</f>
        <v>#REF!</v>
      </c>
      <c r="T17" s="241">
        <f>'Учебный план (заочная)'!M18</f>
        <v>54</v>
      </c>
      <c r="U17" s="242">
        <f>'Учебный план (заочная)'!D18</f>
        <v>0</v>
      </c>
      <c r="V17" s="242" t="str">
        <f>'Учебный план (заочная)'!E18</f>
        <v>1</v>
      </c>
      <c r="W17" s="242">
        <f>'Учебный план (заочная)'!F18</f>
        <v>0</v>
      </c>
      <c r="X17" s="242">
        <f>'Учебный план (заочная)'!G18</f>
        <v>0</v>
      </c>
      <c r="Y17" s="242">
        <f>'Учебный план (заочная)'!H18</f>
        <v>0</v>
      </c>
      <c r="Z17" s="242"/>
      <c r="AA17" s="243" t="str">
        <f>'Учебный план (заочная)'!B18</f>
        <v>Математика</v>
      </c>
    </row>
    <row r="18" spans="1:27" x14ac:dyDescent="0.2">
      <c r="A18" s="133" t="s">
        <v>167</v>
      </c>
      <c r="B18" s="144" t="str">
        <f>'Учебный план (очная)'!B36</f>
        <v>Информатика</v>
      </c>
      <c r="C18" s="144">
        <f>'Учебный план (очная)'!C36</f>
        <v>0</v>
      </c>
      <c r="D18" s="144">
        <f>'Учебный план (очная)'!D36</f>
        <v>0</v>
      </c>
      <c r="E18" s="144" t="str">
        <f>'Учебный план (очная)'!E36</f>
        <v>4</v>
      </c>
      <c r="F18" s="144">
        <f>'Учебный план (очная)'!F36</f>
        <v>0</v>
      </c>
      <c r="G18" s="144">
        <f>'Учебный план (очная)'!G36</f>
        <v>0</v>
      </c>
      <c r="H18" s="144">
        <f>'Учебный план (очная)'!H36</f>
        <v>0</v>
      </c>
      <c r="I18" s="136"/>
      <c r="J18" s="140"/>
      <c r="K18" s="240">
        <f>'Учебный план (очная)'!K36</f>
        <v>54</v>
      </c>
      <c r="L18" s="138">
        <f>SUM(M18:Q18)</f>
        <v>1</v>
      </c>
      <c r="M18" s="138">
        <f t="shared" si="5"/>
        <v>0</v>
      </c>
      <c r="N18" s="138">
        <f t="shared" si="5"/>
        <v>1</v>
      </c>
      <c r="O18" s="138">
        <f t="shared" si="5"/>
        <v>0</v>
      </c>
      <c r="P18" s="138">
        <f t="shared" si="5"/>
        <v>0</v>
      </c>
      <c r="Q18" s="138">
        <f t="shared" si="5"/>
        <v>0</v>
      </c>
      <c r="R18" s="138" t="e">
        <f>AA18+AH18+AP18+AX18+BF18+BN18+BV18+CD18+CL18+CT18</f>
        <v>#VALUE!</v>
      </c>
      <c r="S18" s="160" t="e">
        <f>#REF!+AI18+AQ18+AY18+BG18+BO18+BW18+CE18+CM18+CU18</f>
        <v>#REF!</v>
      </c>
      <c r="T18" s="241">
        <f>'Учебный план (заочная)'!M19</f>
        <v>54</v>
      </c>
      <c r="U18" s="242">
        <f>'Учебный план (заочная)'!D19</f>
        <v>0</v>
      </c>
      <c r="V18" s="242" t="str">
        <f>'Учебный план (заочная)'!E19</f>
        <v>1</v>
      </c>
      <c r="W18" s="242">
        <f>'Учебный план (заочная)'!F19</f>
        <v>0</v>
      </c>
      <c r="X18" s="242">
        <f>'Учебный план (заочная)'!G19</f>
        <v>0</v>
      </c>
      <c r="Y18" s="242">
        <f>'Учебный план (заочная)'!H19</f>
        <v>0</v>
      </c>
      <c r="Z18" s="242"/>
      <c r="AA18" s="243" t="str">
        <f>'Учебный план (заочная)'!B19</f>
        <v>Информатика</v>
      </c>
    </row>
    <row r="19" spans="1:27" ht="25.5" x14ac:dyDescent="0.2">
      <c r="A19" s="133" t="s">
        <v>286</v>
      </c>
      <c r="B19" s="144" t="str">
        <f>'Учебный план (очная)'!B37</f>
        <v>Экологические основы природопользования</v>
      </c>
      <c r="C19" s="144">
        <f>'Учебный план (очная)'!C37</f>
        <v>0</v>
      </c>
      <c r="D19" s="144">
        <f>'Учебный план (очная)'!D37</f>
        <v>0</v>
      </c>
      <c r="E19" s="144" t="str">
        <f>'Учебный план (очная)'!E37</f>
        <v>4</v>
      </c>
      <c r="F19" s="144">
        <f>'Учебный план (очная)'!F37</f>
        <v>0</v>
      </c>
      <c r="G19" s="144">
        <f>'Учебный план (очная)'!G37</f>
        <v>0</v>
      </c>
      <c r="H19" s="144">
        <f>'Учебный план (очная)'!H37</f>
        <v>0</v>
      </c>
      <c r="I19" s="136"/>
      <c r="J19" s="140"/>
      <c r="K19" s="240">
        <f>'Учебный план (очная)'!K37</f>
        <v>54</v>
      </c>
      <c r="L19" s="138">
        <f>SUM(M19:Q19)</f>
        <v>2</v>
      </c>
      <c r="M19" s="138">
        <f t="shared" si="5"/>
        <v>0</v>
      </c>
      <c r="N19" s="138">
        <f t="shared" si="5"/>
        <v>2</v>
      </c>
      <c r="O19" s="138">
        <f t="shared" si="5"/>
        <v>0</v>
      </c>
      <c r="P19" s="138">
        <f t="shared" si="5"/>
        <v>0</v>
      </c>
      <c r="Q19" s="138">
        <f t="shared" si="5"/>
        <v>0</v>
      </c>
      <c r="R19" s="138" t="e">
        <f>AA19+AH19+AP19+AX19+BF19+BN19+BV19+CD19+CL19+CT19</f>
        <v>#VALUE!</v>
      </c>
      <c r="S19" s="160" t="e">
        <f>#REF!+AI19+AQ19+AY19+BG19+BO19+BW19+CE19+CM19+CU19</f>
        <v>#REF!</v>
      </c>
      <c r="T19" s="241">
        <f>'Учебный план (заочная)'!M20</f>
        <v>54</v>
      </c>
      <c r="U19" s="242">
        <f>'Учебный план (заочная)'!D20</f>
        <v>0</v>
      </c>
      <c r="V19" s="242" t="str">
        <f>'Учебный план (заочная)'!E20</f>
        <v>2</v>
      </c>
      <c r="W19" s="242">
        <f>'Учебный план (заочная)'!F20</f>
        <v>0</v>
      </c>
      <c r="X19" s="242">
        <f>'Учебный план (заочная)'!G20</f>
        <v>0</v>
      </c>
      <c r="Y19" s="242">
        <f>'Учебный план (заочная)'!H20</f>
        <v>0</v>
      </c>
      <c r="Z19" s="242"/>
      <c r="AA19" s="292" t="str">
        <f>'Учебный план (заочная)'!B20</f>
        <v>Экологические основы природопользования</v>
      </c>
    </row>
    <row r="20" spans="1:27" x14ac:dyDescent="0.2">
      <c r="A20" s="146" t="s">
        <v>187</v>
      </c>
      <c r="B20" s="879" t="s">
        <v>71</v>
      </c>
      <c r="C20" s="880"/>
      <c r="D20" s="149" t="s">
        <v>26</v>
      </c>
      <c r="E20" s="149"/>
      <c r="F20" s="149"/>
      <c r="G20" s="149"/>
      <c r="H20" s="149"/>
      <c r="I20" s="254">
        <v>2196</v>
      </c>
      <c r="J20" s="255">
        <v>1464</v>
      </c>
      <c r="K20" s="239">
        <f>'Учебный план (очная)'!K38</f>
        <v>2380</v>
      </c>
      <c r="L20" s="256" t="e">
        <f>L21+#REF!</f>
        <v>#REF!</v>
      </c>
      <c r="M20" s="256" t="e">
        <f>M21+#REF!</f>
        <v>#REF!</v>
      </c>
      <c r="N20" s="256" t="e">
        <f>N21+#REF!</f>
        <v>#REF!</v>
      </c>
      <c r="O20" s="256" t="e">
        <f>O21+#REF!</f>
        <v>#REF!</v>
      </c>
      <c r="P20" s="256" t="e">
        <f>P21+#REF!</f>
        <v>#REF!</v>
      </c>
      <c r="Q20" s="256" t="e">
        <f>Q21+#REF!</f>
        <v>#REF!</v>
      </c>
      <c r="R20" s="256" t="e">
        <f>R21+#REF!</f>
        <v>#VALUE!</v>
      </c>
      <c r="S20" s="257" t="e">
        <f>S21+#REF!</f>
        <v>#REF!</v>
      </c>
      <c r="T20" s="241">
        <f>'Учебный план (заочная)'!M21</f>
        <v>2380</v>
      </c>
      <c r="U20" s="249" t="str">
        <f>'Учебный план (заочная)'!D21</f>
        <v xml:space="preserve"> </v>
      </c>
      <c r="V20" s="249">
        <f>'Учебный план (заочная)'!E21</f>
        <v>0</v>
      </c>
      <c r="W20" s="249">
        <f>'Учебный план (заочная)'!F21</f>
        <v>0</v>
      </c>
      <c r="X20" s="249">
        <f>'Учебный план (заочная)'!G21</f>
        <v>0</v>
      </c>
      <c r="Y20" s="249">
        <f>'Учебный план (заочная)'!H21</f>
        <v>0</v>
      </c>
      <c r="Z20" s="249"/>
      <c r="AA20" s="250" t="str">
        <f>'Учебный план (заочная)'!B21</f>
        <v>Профессиональный учебный цикл</v>
      </c>
    </row>
    <row r="21" spans="1:27" x14ac:dyDescent="0.2">
      <c r="A21" s="147" t="s">
        <v>176</v>
      </c>
      <c r="B21" s="884" t="s">
        <v>175</v>
      </c>
      <c r="C21" s="885"/>
      <c r="D21" s="258"/>
      <c r="E21" s="258"/>
      <c r="F21" s="258"/>
      <c r="G21" s="258"/>
      <c r="H21" s="258"/>
      <c r="I21" s="155">
        <v>804</v>
      </c>
      <c r="J21" s="238">
        <v>536</v>
      </c>
      <c r="K21" s="239">
        <f>'Учебный план (очная)'!K39</f>
        <v>804</v>
      </c>
      <c r="L21" s="259" t="e">
        <f t="shared" ref="L21:S21" si="6">SUM(L22:L42)</f>
        <v>#REF!</v>
      </c>
      <c r="M21" s="259" t="e">
        <f t="shared" si="6"/>
        <v>#REF!</v>
      </c>
      <c r="N21" s="259" t="e">
        <f t="shared" si="6"/>
        <v>#REF!</v>
      </c>
      <c r="O21" s="259" t="e">
        <f t="shared" si="6"/>
        <v>#REF!</v>
      </c>
      <c r="P21" s="259" t="e">
        <f t="shared" si="6"/>
        <v>#REF!</v>
      </c>
      <c r="Q21" s="259" t="e">
        <f t="shared" si="6"/>
        <v>#REF!</v>
      </c>
      <c r="R21" s="259" t="e">
        <f t="shared" si="6"/>
        <v>#VALUE!</v>
      </c>
      <c r="S21" s="260" t="e">
        <f t="shared" si="6"/>
        <v>#REF!</v>
      </c>
      <c r="T21" s="241">
        <f>'Учебный план (заочная)'!M22</f>
        <v>804</v>
      </c>
      <c r="U21" s="249">
        <f>'Учебный план (заочная)'!D22</f>
        <v>0</v>
      </c>
      <c r="V21" s="249">
        <f>'Учебный план (заочная)'!E22</f>
        <v>0</v>
      </c>
      <c r="W21" s="249">
        <f>'Учебный план (заочная)'!F22</f>
        <v>0</v>
      </c>
      <c r="X21" s="249">
        <f>'Учебный план (заочная)'!G22</f>
        <v>0</v>
      </c>
      <c r="Y21" s="249">
        <f>'Учебный план (заочная)'!H22</f>
        <v>0</v>
      </c>
      <c r="Z21" s="249"/>
      <c r="AA21" s="250" t="str">
        <f>'Учебный план (заочная)'!B22</f>
        <v>Общепрофессиональные дисциплины</v>
      </c>
    </row>
    <row r="22" spans="1:27" x14ac:dyDescent="0.2">
      <c r="A22" s="133" t="s">
        <v>177</v>
      </c>
      <c r="B22" s="144" t="str">
        <f>'Учебный план (очная)'!B40</f>
        <v>Инженерная графика</v>
      </c>
      <c r="C22" s="144">
        <f>'Учебный план (очная)'!C40</f>
        <v>0</v>
      </c>
      <c r="D22" s="144">
        <f>'Учебный план (очная)'!D40</f>
        <v>0</v>
      </c>
      <c r="E22" s="144" t="str">
        <f>'Учебный план (очная)'!E40</f>
        <v>4</v>
      </c>
      <c r="F22" s="144">
        <f>'Учебный план (очная)'!F40</f>
        <v>0</v>
      </c>
      <c r="G22" s="144">
        <f>'Учебный план (очная)'!G40</f>
        <v>0</v>
      </c>
      <c r="H22" s="144" t="str">
        <f>'Учебный план (очная)'!H40</f>
        <v>3</v>
      </c>
      <c r="I22" s="136"/>
      <c r="J22" s="140"/>
      <c r="K22" s="240">
        <f>'Учебный план (очная)'!K40</f>
        <v>87</v>
      </c>
      <c r="L22" s="138">
        <f>SUM(M22:Q22)</f>
        <v>2</v>
      </c>
      <c r="M22" s="138">
        <f>U22+AC22+AK22+AS22+BA22+BI22+BQ22+BY22+CG22+CO22</f>
        <v>0</v>
      </c>
      <c r="N22" s="138">
        <f>V22+AD22+AL22+AT22+BB22+BJ22+BR22+BZ22+CH22+CP22</f>
        <v>1</v>
      </c>
      <c r="O22" s="138">
        <f>W22+AE22+AM22+AU22+BC22+BK22+BS22+CA22+CI22+CQ22</f>
        <v>0</v>
      </c>
      <c r="P22" s="138">
        <f>X22+AF22+AN22+AV22+BD22+BL22+BT22+CB22+CJ22+CR22</f>
        <v>0</v>
      </c>
      <c r="Q22" s="138">
        <f>Y22+AG22+AO22+AW22+BE22+BM22+BU22+CC22+CK22+CS22</f>
        <v>1</v>
      </c>
      <c r="R22" s="138" t="e">
        <f>AA22+AH22+AP22+AX22+BF22+BN22+BV22+CD22+CL22+CT22</f>
        <v>#VALUE!</v>
      </c>
      <c r="S22" s="160" t="e">
        <f>#REF!+AI22+AQ22+AY22+BG22+BO22+BW22+CE22+CM22+CU22</f>
        <v>#REF!</v>
      </c>
      <c r="T22" s="241">
        <f>'Учебный план (заочная)'!M23</f>
        <v>87</v>
      </c>
      <c r="U22" s="242">
        <f>'Учебный план (заочная)'!D23</f>
        <v>0</v>
      </c>
      <c r="V22" s="242" t="str">
        <f>'Учебный план (заочная)'!E23</f>
        <v>1</v>
      </c>
      <c r="W22" s="242">
        <f>'Учебный план (заочная)'!F23</f>
        <v>0</v>
      </c>
      <c r="X22" s="242">
        <f>'Учебный план (заочная)'!G23</f>
        <v>0</v>
      </c>
      <c r="Y22" s="242" t="str">
        <f>'Учебный план (заочная)'!H23</f>
        <v>1</v>
      </c>
      <c r="Z22" s="242"/>
      <c r="AA22" s="292" t="str">
        <f>'Учебный план (заочная)'!B23</f>
        <v>Инженерная графика</v>
      </c>
    </row>
    <row r="23" spans="1:27" x14ac:dyDescent="0.2">
      <c r="A23" s="133" t="s">
        <v>179</v>
      </c>
      <c r="B23" s="144" t="str">
        <f>'Учебный план (очная)'!B41</f>
        <v>Механика</v>
      </c>
      <c r="C23" s="144">
        <f>'Учебный план (очная)'!C41</f>
        <v>0</v>
      </c>
      <c r="D23" s="144">
        <f>'Учебный план (очная)'!D41</f>
        <v>0</v>
      </c>
      <c r="E23" s="144" t="str">
        <f>'Учебный план (очная)'!E41</f>
        <v>3</v>
      </c>
      <c r="F23" s="144">
        <f>'Учебный план (очная)'!F41</f>
        <v>0</v>
      </c>
      <c r="G23" s="144">
        <f>'Учебный план (очная)'!G41</f>
        <v>0</v>
      </c>
      <c r="H23" s="144" t="str">
        <f>'Учебный план (очная)'!H41</f>
        <v>3</v>
      </c>
      <c r="I23" s="136"/>
      <c r="J23" s="140"/>
      <c r="K23" s="240">
        <f>'Учебный план (очная)'!K41</f>
        <v>120</v>
      </c>
      <c r="L23" s="138">
        <f t="shared" ref="L23:L31" si="7">SUM(M23:Q23)</f>
        <v>3</v>
      </c>
      <c r="M23" s="138">
        <f t="shared" ref="M23:M31" si="8">U23+AC23+AK23+AS23+BA23+BI23+BQ23+BY23+CG23+CO23</f>
        <v>2</v>
      </c>
      <c r="N23" s="138">
        <f t="shared" ref="N23:N31" si="9">V23+AD23+AL23+AT23+BB23+BJ23+BR23+BZ23+CH23+CP23</f>
        <v>0</v>
      </c>
      <c r="O23" s="138">
        <f t="shared" ref="O23:O31" si="10">W23+AE23+AM23+AU23+BC23+BK23+BS23+CA23+CI23+CQ23</f>
        <v>0</v>
      </c>
      <c r="P23" s="138">
        <f t="shared" ref="P23:P31" si="11">X23+AF23+AN23+AV23+BD23+BL23+BT23+CB23+CJ23+CR23</f>
        <v>0</v>
      </c>
      <c r="Q23" s="138">
        <f t="shared" ref="Q23:Q31" si="12">Y23+AG23+AO23+AW23+BE23+BM23+BU23+CC23+CK23+CS23</f>
        <v>1</v>
      </c>
      <c r="R23" s="138" t="e">
        <f t="shared" ref="R23:R31" si="13">AA23+AH23+AP23+AX23+BF23+BN23+BV23+CD23+CL23+CT23</f>
        <v>#VALUE!</v>
      </c>
      <c r="S23" s="160" t="e">
        <f>#REF!+AI23+AQ23+AY23+BG23+BO23+BW23+CE23+CM23+CU23</f>
        <v>#REF!</v>
      </c>
      <c r="T23" s="241">
        <f>'Учебный план (заочная)'!M24</f>
        <v>120</v>
      </c>
      <c r="U23" s="242" t="str">
        <f>'Учебный план (заочная)'!D24</f>
        <v>2</v>
      </c>
      <c r="V23" s="242">
        <f>'Учебный план (заочная)'!E24</f>
        <v>0</v>
      </c>
      <c r="W23" s="242">
        <f>'Учебный план (заочная)'!F24</f>
        <v>0</v>
      </c>
      <c r="X23" s="242">
        <f>'Учебный план (заочная)'!G24</f>
        <v>0</v>
      </c>
      <c r="Y23" s="242" t="str">
        <f>'Учебный план (заочная)'!H24</f>
        <v>1</v>
      </c>
      <c r="Z23" s="242"/>
      <c r="AA23" s="292" t="str">
        <f>'Учебный план (заочная)'!B24</f>
        <v>Механика</v>
      </c>
    </row>
    <row r="24" spans="1:27" x14ac:dyDescent="0.2">
      <c r="A24" s="133" t="s">
        <v>180</v>
      </c>
      <c r="B24" s="144" t="str">
        <f>'Учебный план (очная)'!B42</f>
        <v>Электроника и электротехника</v>
      </c>
      <c r="C24" s="144">
        <f>'Учебный план (очная)'!C42</f>
        <v>0</v>
      </c>
      <c r="D24" s="144" t="str">
        <f>'Учебный план (очная)'!D42</f>
        <v>4</v>
      </c>
      <c r="E24" s="144">
        <f>'Учебный план (очная)'!E42</f>
        <v>0</v>
      </c>
      <c r="F24" s="144">
        <f>'Учебный план (очная)'!F42</f>
        <v>0</v>
      </c>
      <c r="G24" s="144">
        <f>'Учебный план (очная)'!G42</f>
        <v>0</v>
      </c>
      <c r="H24" s="144" t="str">
        <f>'Учебный план (очная)'!H42</f>
        <v>3</v>
      </c>
      <c r="I24" s="136"/>
      <c r="J24" s="140"/>
      <c r="K24" s="240">
        <f>'Учебный план (очная)'!K42</f>
        <v>237</v>
      </c>
      <c r="L24" s="138">
        <f t="shared" si="7"/>
        <v>3</v>
      </c>
      <c r="M24" s="138">
        <f t="shared" si="8"/>
        <v>2</v>
      </c>
      <c r="N24" s="138">
        <f t="shared" si="9"/>
        <v>0</v>
      </c>
      <c r="O24" s="138">
        <f t="shared" si="10"/>
        <v>0</v>
      </c>
      <c r="P24" s="138">
        <f t="shared" si="11"/>
        <v>0</v>
      </c>
      <c r="Q24" s="138">
        <f t="shared" si="12"/>
        <v>1</v>
      </c>
      <c r="R24" s="138" t="e">
        <f t="shared" si="13"/>
        <v>#VALUE!</v>
      </c>
      <c r="S24" s="160" t="e">
        <f>#REF!+AI24+AQ24+AY24+BG24+BO24+BW24+CE24+CM24+CU24</f>
        <v>#REF!</v>
      </c>
      <c r="T24" s="241">
        <f>'Учебный план (заочная)'!M25</f>
        <v>237</v>
      </c>
      <c r="U24" s="242" t="str">
        <f>'Учебный план (заочная)'!D25</f>
        <v>2</v>
      </c>
      <c r="V24" s="242">
        <f>'Учебный план (заочная)'!E25</f>
        <v>0</v>
      </c>
      <c r="W24" s="242">
        <f>'Учебный план (заочная)'!F25</f>
        <v>0</v>
      </c>
      <c r="X24" s="242">
        <f>'Учебный план (заочная)'!G25</f>
        <v>0</v>
      </c>
      <c r="Y24" s="242" t="str">
        <f>'Учебный план (заочная)'!H25</f>
        <v>1</v>
      </c>
      <c r="Z24" s="242"/>
      <c r="AA24" s="292" t="str">
        <f>'Учебный план (заочная)'!B25</f>
        <v>Электроника и электротехника</v>
      </c>
    </row>
    <row r="25" spans="1:27" x14ac:dyDescent="0.2">
      <c r="A25" s="184" t="s">
        <v>182</v>
      </c>
      <c r="B25" s="144" t="str">
        <f>'Учебный план (очная)'!B43</f>
        <v>Материаловедение</v>
      </c>
      <c r="C25" s="144">
        <f>'Учебный план (очная)'!C43</f>
        <v>0</v>
      </c>
      <c r="D25" s="144">
        <f>'Учебный план (очная)'!D43</f>
        <v>0</v>
      </c>
      <c r="E25" s="144" t="str">
        <f>'Учебный план (очная)'!E43</f>
        <v>3</v>
      </c>
      <c r="F25" s="144">
        <f>'Учебный план (очная)'!F43</f>
        <v>0</v>
      </c>
      <c r="G25" s="144">
        <f>'Учебный план (очная)'!G43</f>
        <v>0</v>
      </c>
      <c r="H25" s="144">
        <f>'Учебный план (очная)'!H43</f>
        <v>0</v>
      </c>
      <c r="I25" s="136"/>
      <c r="J25" s="140"/>
      <c r="K25" s="240">
        <f>'Учебный план (очная)'!K43</f>
        <v>72</v>
      </c>
      <c r="L25" s="138">
        <f t="shared" si="7"/>
        <v>2</v>
      </c>
      <c r="M25" s="138">
        <f t="shared" si="8"/>
        <v>0</v>
      </c>
      <c r="N25" s="138">
        <f t="shared" si="9"/>
        <v>2</v>
      </c>
      <c r="O25" s="138">
        <f t="shared" si="10"/>
        <v>0</v>
      </c>
      <c r="P25" s="138">
        <f t="shared" si="11"/>
        <v>0</v>
      </c>
      <c r="Q25" s="138">
        <f t="shared" si="12"/>
        <v>0</v>
      </c>
      <c r="R25" s="138" t="e">
        <f t="shared" si="13"/>
        <v>#VALUE!</v>
      </c>
      <c r="S25" s="160" t="e">
        <f>#REF!+AI25+AQ25+AY25+BG25+BO25+BW25+CE25+CM25+CU25</f>
        <v>#REF!</v>
      </c>
      <c r="T25" s="241">
        <f>'Учебный план (заочная)'!M26</f>
        <v>72</v>
      </c>
      <c r="U25" s="242">
        <f>'Учебный план (заочная)'!D26</f>
        <v>0</v>
      </c>
      <c r="V25" s="242" t="str">
        <f>'Учебный план (заочная)'!E26</f>
        <v>2</v>
      </c>
      <c r="W25" s="242">
        <f>'Учебный план (заочная)'!F26</f>
        <v>0</v>
      </c>
      <c r="X25" s="242">
        <f>'Учебный план (заочная)'!G26</f>
        <v>0</v>
      </c>
      <c r="Y25" s="242">
        <f>'Учебный план (заочная)'!H26</f>
        <v>0</v>
      </c>
      <c r="Z25" s="242"/>
      <c r="AA25" s="292" t="str">
        <f>'Учебный план (заочная)'!B26</f>
        <v>Материаловедение</v>
      </c>
    </row>
    <row r="26" spans="1:27" x14ac:dyDescent="0.2">
      <c r="A26" s="133" t="s">
        <v>183</v>
      </c>
      <c r="B26" s="144" t="str">
        <f>'Учебный план (очная)'!B44</f>
        <v>Метрология и стандартизация</v>
      </c>
      <c r="C26" s="144">
        <f>'Учебный план (очная)'!C44</f>
        <v>0</v>
      </c>
      <c r="D26" s="144">
        <f>'Учебный план (очная)'!D44</f>
        <v>0</v>
      </c>
      <c r="E26" s="144" t="str">
        <f>'Учебный план (очная)'!E44</f>
        <v>4</v>
      </c>
      <c r="F26" s="144">
        <f>'Учебный план (очная)'!F44</f>
        <v>0</v>
      </c>
      <c r="G26" s="144">
        <f>'Учебный план (очная)'!G44</f>
        <v>0</v>
      </c>
      <c r="H26" s="144">
        <f>'Учебный план (очная)'!H44</f>
        <v>0</v>
      </c>
      <c r="I26" s="136"/>
      <c r="J26" s="140"/>
      <c r="K26" s="240">
        <f>'Учебный план (очная)'!K44</f>
        <v>63</v>
      </c>
      <c r="L26" s="138">
        <f t="shared" si="7"/>
        <v>1</v>
      </c>
      <c r="M26" s="138">
        <f t="shared" si="8"/>
        <v>0</v>
      </c>
      <c r="N26" s="138">
        <f t="shared" si="9"/>
        <v>1</v>
      </c>
      <c r="O26" s="138">
        <f t="shared" si="10"/>
        <v>0</v>
      </c>
      <c r="P26" s="138">
        <f t="shared" si="11"/>
        <v>0</v>
      </c>
      <c r="Q26" s="138">
        <f t="shared" si="12"/>
        <v>0</v>
      </c>
      <c r="R26" s="138" t="e">
        <f t="shared" si="13"/>
        <v>#VALUE!</v>
      </c>
      <c r="S26" s="160" t="e">
        <f>#REF!+AI26+AQ26+AY26+BG26+BO26+BW26+CE26+CM26+CU26</f>
        <v>#REF!</v>
      </c>
      <c r="T26" s="241">
        <f>'Учебный план (заочная)'!M27</f>
        <v>63</v>
      </c>
      <c r="U26" s="242">
        <f>'Учебный план (заочная)'!D27</f>
        <v>0</v>
      </c>
      <c r="V26" s="242" t="str">
        <f>'Учебный план (заочная)'!E27</f>
        <v>1</v>
      </c>
      <c r="W26" s="242">
        <f>'Учебный план (заочная)'!F27</f>
        <v>0</v>
      </c>
      <c r="X26" s="242">
        <f>'Учебный план (заочная)'!G27</f>
        <v>0</v>
      </c>
      <c r="Y26" s="242">
        <f>'Учебный план (заочная)'!H27</f>
        <v>0</v>
      </c>
      <c r="Z26" s="242"/>
      <c r="AA26" s="292" t="str">
        <f>'Учебный план (заочная)'!B27</f>
        <v>Метрология и стандартизация</v>
      </c>
    </row>
    <row r="27" spans="1:27" x14ac:dyDescent="0.2">
      <c r="A27" s="133" t="s">
        <v>184</v>
      </c>
      <c r="B27" s="144" t="str">
        <f>'Учебный план (очная)'!B45</f>
        <v>Теория и устройство судна</v>
      </c>
      <c r="C27" s="144">
        <f>'Учебный план (очная)'!C45</f>
        <v>0</v>
      </c>
      <c r="D27" s="144" t="str">
        <f>'Учебный план (очная)'!D45</f>
        <v>3</v>
      </c>
      <c r="E27" s="144">
        <f>'Учебный план (очная)'!E45</f>
        <v>0</v>
      </c>
      <c r="F27" s="144">
        <f>'Учебный план (очная)'!F45</f>
        <v>0</v>
      </c>
      <c r="G27" s="144">
        <f>'Учебный план (очная)'!G45</f>
        <v>0</v>
      </c>
      <c r="H27" s="144" t="str">
        <f>'Учебный план (очная)'!H45</f>
        <v>3</v>
      </c>
      <c r="I27" s="136"/>
      <c r="J27" s="140"/>
      <c r="K27" s="240">
        <f>'Учебный план (очная)'!K45</f>
        <v>120</v>
      </c>
      <c r="L27" s="138">
        <f t="shared" si="7"/>
        <v>3</v>
      </c>
      <c r="M27" s="138">
        <f t="shared" si="8"/>
        <v>2</v>
      </c>
      <c r="N27" s="138">
        <f t="shared" si="9"/>
        <v>0</v>
      </c>
      <c r="O27" s="138">
        <f t="shared" si="10"/>
        <v>0</v>
      </c>
      <c r="P27" s="138">
        <f t="shared" si="11"/>
        <v>0</v>
      </c>
      <c r="Q27" s="138">
        <f t="shared" si="12"/>
        <v>1</v>
      </c>
      <c r="R27" s="138" t="e">
        <f t="shared" si="13"/>
        <v>#VALUE!</v>
      </c>
      <c r="S27" s="160" t="e">
        <f>#REF!+AI27+AQ27+AY27+BG27+BO27+BW27+CE27+CM27+CU27</f>
        <v>#REF!</v>
      </c>
      <c r="T27" s="241">
        <f>'Учебный план (заочная)'!M28</f>
        <v>120</v>
      </c>
      <c r="U27" s="242" t="str">
        <f>'Учебный план (заочная)'!D28</f>
        <v>2</v>
      </c>
      <c r="V27" s="242">
        <f>'Учебный план (заочная)'!E28</f>
        <v>0</v>
      </c>
      <c r="W27" s="242">
        <f>'Учебный план (заочная)'!F28</f>
        <v>0</v>
      </c>
      <c r="X27" s="242">
        <f>'Учебный план (заочная)'!G28</f>
        <v>0</v>
      </c>
      <c r="Y27" s="242" t="str">
        <f>'Учебный план (заочная)'!H28</f>
        <v>1</v>
      </c>
      <c r="Z27" s="242"/>
      <c r="AA27" s="292" t="str">
        <f>'Учебный план (заочная)'!B28</f>
        <v>Теория и устройство судна</v>
      </c>
    </row>
    <row r="28" spans="1:27" ht="31.5" customHeight="1" x14ac:dyDescent="0.2">
      <c r="A28" s="133" t="s">
        <v>185</v>
      </c>
      <c r="B28" s="144" t="str">
        <f>'Учебный план (очная)'!B46</f>
        <v>Безопасность жизнедеятельности</v>
      </c>
      <c r="C28" s="144">
        <f>'Учебный план (очная)'!C46</f>
        <v>0</v>
      </c>
      <c r="D28" s="144">
        <f>'Учебный план (очная)'!D46</f>
        <v>0</v>
      </c>
      <c r="E28" s="144" t="str">
        <f>'Учебный план (очная)'!E46</f>
        <v>6</v>
      </c>
      <c r="F28" s="144">
        <f>'Учебный план (очная)'!F46</f>
        <v>0</v>
      </c>
      <c r="G28" s="144">
        <f>'Учебный план (очная)'!G46</f>
        <v>0</v>
      </c>
      <c r="H28" s="144" t="str">
        <f>'Учебный план (очная)'!H46</f>
        <v>5</v>
      </c>
      <c r="I28" s="136"/>
      <c r="J28" s="140"/>
      <c r="K28" s="240">
        <f>'Учебный план (очная)'!K46</f>
        <v>105</v>
      </c>
      <c r="L28" s="138">
        <f t="shared" si="7"/>
        <v>6</v>
      </c>
      <c r="M28" s="138">
        <f t="shared" si="8"/>
        <v>0</v>
      </c>
      <c r="N28" s="138">
        <f t="shared" si="9"/>
        <v>3</v>
      </c>
      <c r="O28" s="138">
        <f t="shared" si="10"/>
        <v>0</v>
      </c>
      <c r="P28" s="138">
        <f t="shared" si="11"/>
        <v>0</v>
      </c>
      <c r="Q28" s="138">
        <f t="shared" si="12"/>
        <v>3</v>
      </c>
      <c r="R28" s="138" t="e">
        <f t="shared" si="13"/>
        <v>#VALUE!</v>
      </c>
      <c r="S28" s="160" t="e">
        <f>#REF!+AI28+AQ28+AY28+BG28+BO28+BW28+CE28+CM28+CU28</f>
        <v>#REF!</v>
      </c>
      <c r="T28" s="241">
        <f>'Учебный план (заочная)'!M29</f>
        <v>105</v>
      </c>
      <c r="U28" s="242">
        <f>'Учебный план (заочная)'!D29</f>
        <v>0</v>
      </c>
      <c r="V28" s="242" t="str">
        <f>'Учебный план (заочная)'!E29</f>
        <v>3</v>
      </c>
      <c r="W28" s="242">
        <f>'Учебный план (заочная)'!F29</f>
        <v>0</v>
      </c>
      <c r="X28" s="242">
        <f>'Учебный план (заочная)'!G29</f>
        <v>0</v>
      </c>
      <c r="Y28" s="242" t="str">
        <f>'Учебный план (заочная)'!H29</f>
        <v>3</v>
      </c>
      <c r="Z28" s="242"/>
      <c r="AA28" s="292" t="str">
        <f>'Учебный план (заочная)'!B29</f>
        <v>Безопасность жизнедеятельности</v>
      </c>
    </row>
    <row r="29" spans="1:27" x14ac:dyDescent="0.2">
      <c r="A29" s="133" t="s">
        <v>186</v>
      </c>
      <c r="B29" s="308" t="str">
        <f>'Учебный план (очная)'!B47</f>
        <v>Профессиональные модули</v>
      </c>
      <c r="C29" s="308">
        <f>'Учебный план (очная)'!C47</f>
        <v>0</v>
      </c>
      <c r="D29" s="308">
        <f>'Учебный план (очная)'!D47</f>
        <v>0</v>
      </c>
      <c r="E29" s="308">
        <f>'Учебный план (очная)'!E47</f>
        <v>0</v>
      </c>
      <c r="F29" s="308">
        <f>'Учебный план (очная)'!F47</f>
        <v>0</v>
      </c>
      <c r="G29" s="308">
        <f>'Учебный план (очная)'!G47</f>
        <v>0</v>
      </c>
      <c r="H29" s="308">
        <f>'Учебный план (очная)'!H47</f>
        <v>0</v>
      </c>
      <c r="I29" s="285"/>
      <c r="J29" s="309"/>
      <c r="K29" s="239">
        <f>'Учебный план (очная)'!K47</f>
        <v>1576</v>
      </c>
      <c r="L29" s="274">
        <f t="shared" si="7"/>
        <v>0</v>
      </c>
      <c r="M29" s="274">
        <f t="shared" si="8"/>
        <v>0</v>
      </c>
      <c r="N29" s="274">
        <f t="shared" si="9"/>
        <v>0</v>
      </c>
      <c r="O29" s="274">
        <f t="shared" si="10"/>
        <v>0</v>
      </c>
      <c r="P29" s="274">
        <f t="shared" si="11"/>
        <v>0</v>
      </c>
      <c r="Q29" s="274">
        <f t="shared" si="12"/>
        <v>0</v>
      </c>
      <c r="R29" s="274" t="e">
        <f t="shared" si="13"/>
        <v>#VALUE!</v>
      </c>
      <c r="S29" s="289" t="e">
        <f>#REF!+AI29+AQ29+AY29+BG29+BO29+BW29+CE29+CM29+CU29</f>
        <v>#REF!</v>
      </c>
      <c r="T29" s="248">
        <f>'Учебный план (заочная)'!M30</f>
        <v>1576</v>
      </c>
      <c r="U29" s="249">
        <f>'Учебный план (заочная)'!D30</f>
        <v>0</v>
      </c>
      <c r="V29" s="249">
        <f>'Учебный план (заочная)'!E30</f>
        <v>0</v>
      </c>
      <c r="W29" s="249">
        <f>'Учебный план (заочная)'!F30</f>
        <v>0</v>
      </c>
      <c r="X29" s="249">
        <f>'Учебный план (заочная)'!G30</f>
        <v>0</v>
      </c>
      <c r="Y29" s="249">
        <f>'Учебный план (заочная)'!H30</f>
        <v>0</v>
      </c>
      <c r="Z29" s="249"/>
      <c r="AA29" s="293" t="str">
        <f>'Учебный план (заочная)'!B30</f>
        <v>Профессиональные модули</v>
      </c>
    </row>
    <row r="30" spans="1:27" ht="38.25" x14ac:dyDescent="0.2">
      <c r="A30" s="133"/>
      <c r="B30" s="308" t="str">
        <f>'Учебный план (очная)'!B48</f>
        <v>Техническая эксплуатация судового электрооборудования и средств автоматики</v>
      </c>
      <c r="C30" s="308">
        <f>'Учебный план (очная)'!C48</f>
        <v>0</v>
      </c>
      <c r="D30" s="308">
        <f>'Учебный план (очная)'!D48</f>
        <v>0</v>
      </c>
      <c r="E30" s="308">
        <f>'Учебный план (очная)'!E48</f>
        <v>0</v>
      </c>
      <c r="F30" s="308">
        <f>'Учебный план (очная)'!F48</f>
        <v>0</v>
      </c>
      <c r="G30" s="308">
        <f>'Учебный план (очная)'!G48</f>
        <v>0</v>
      </c>
      <c r="H30" s="308">
        <f>'Учебный план (очная)'!H48</f>
        <v>0</v>
      </c>
      <c r="I30" s="285"/>
      <c r="J30" s="309"/>
      <c r="K30" s="239">
        <f>'Учебный план (очная)'!K48</f>
        <v>1084</v>
      </c>
      <c r="L30" s="274">
        <f t="shared" si="7"/>
        <v>0</v>
      </c>
      <c r="M30" s="274">
        <f t="shared" si="8"/>
        <v>0</v>
      </c>
      <c r="N30" s="274">
        <f t="shared" si="9"/>
        <v>0</v>
      </c>
      <c r="O30" s="274">
        <f t="shared" si="10"/>
        <v>0</v>
      </c>
      <c r="P30" s="274">
        <f t="shared" si="11"/>
        <v>0</v>
      </c>
      <c r="Q30" s="274">
        <f t="shared" si="12"/>
        <v>0</v>
      </c>
      <c r="R30" s="274" t="e">
        <f t="shared" si="13"/>
        <v>#VALUE!</v>
      </c>
      <c r="S30" s="289" t="e">
        <f>#REF!+AI30+AQ30+AY30+BG30+BO30+BW30+CE30+CM30+CU30</f>
        <v>#REF!</v>
      </c>
      <c r="T30" s="310">
        <f>'Учебный план (заочная)'!M31</f>
        <v>1084</v>
      </c>
      <c r="U30" s="311">
        <f>'Учебный план (заочная)'!D31</f>
        <v>0</v>
      </c>
      <c r="V30" s="311">
        <f>'Учебный план (заочная)'!E31</f>
        <v>0</v>
      </c>
      <c r="W30" s="311">
        <f>'Учебный план (заочная)'!F31</f>
        <v>0</v>
      </c>
      <c r="X30" s="311">
        <f>'Учебный план (заочная)'!G31</f>
        <v>0</v>
      </c>
      <c r="Y30" s="311">
        <f>'Учебный план (заочная)'!H31</f>
        <v>0</v>
      </c>
      <c r="Z30" s="311"/>
      <c r="AA30" s="293" t="str">
        <f>'Учебный план (заочная)'!B31</f>
        <v>Техническая эксплуатация судового электрооборудования и средств автоматики</v>
      </c>
    </row>
    <row r="31" spans="1:27" ht="47.25" customHeight="1" x14ac:dyDescent="0.2">
      <c r="A31" s="133"/>
      <c r="B31" s="144" t="str">
        <f>'Учебный план (очная)'!B50</f>
        <v>Технология технического обслуживания и ремонта судового электрооборудования</v>
      </c>
      <c r="C31" s="144">
        <f>'Учебный план (очная)'!C50</f>
        <v>0</v>
      </c>
      <c r="D31" s="144">
        <f>'Учебный план (очная)'!D50</f>
        <v>0</v>
      </c>
      <c r="E31" s="144" t="str">
        <f>'Учебный план (очная)'!E50</f>
        <v>8</v>
      </c>
      <c r="F31" s="144">
        <f>'Учебный план (очная)'!F50</f>
        <v>0</v>
      </c>
      <c r="G31" s="144">
        <f>'Учебный план (очная)'!G50</f>
        <v>0</v>
      </c>
      <c r="H31" s="144">
        <f>'Учебный план (очная)'!H50</f>
        <v>0</v>
      </c>
      <c r="I31" s="136"/>
      <c r="J31" s="140"/>
      <c r="K31" s="240">
        <f>'Учебный план (очная)'!K50</f>
        <v>112</v>
      </c>
      <c r="L31" s="138">
        <f t="shared" si="7"/>
        <v>11</v>
      </c>
      <c r="M31" s="138">
        <f t="shared" si="8"/>
        <v>0</v>
      </c>
      <c r="N31" s="138">
        <f t="shared" si="9"/>
        <v>4</v>
      </c>
      <c r="O31" s="138">
        <f t="shared" si="10"/>
        <v>0</v>
      </c>
      <c r="P31" s="138">
        <f t="shared" si="11"/>
        <v>0</v>
      </c>
      <c r="Q31" s="138">
        <f t="shared" si="12"/>
        <v>7</v>
      </c>
      <c r="R31" s="138" t="e">
        <f t="shared" si="13"/>
        <v>#VALUE!</v>
      </c>
      <c r="S31" s="160" t="e">
        <f>#REF!+AI31+AQ31+AY31+BG31+BO31+BW31+CE31+CM31+CU31</f>
        <v>#REF!</v>
      </c>
      <c r="T31" s="241">
        <f>'Учебный план (заочная)'!M33</f>
        <v>112</v>
      </c>
      <c r="U31" s="242">
        <f>'Учебный план (заочная)'!D33</f>
        <v>0</v>
      </c>
      <c r="V31" s="242" t="str">
        <f>'Учебный план (заочная)'!E33</f>
        <v>4</v>
      </c>
      <c r="W31" s="242">
        <f>'Учебный план (заочная)'!F33</f>
        <v>0</v>
      </c>
      <c r="X31" s="242">
        <f>'Учебный план (заочная)'!G33</f>
        <v>0</v>
      </c>
      <c r="Y31" s="242" t="str">
        <f>'Учебный план (заочная)'!H33</f>
        <v>7</v>
      </c>
      <c r="Z31" s="242"/>
      <c r="AA31" s="292" t="str">
        <f>'Учебный план (заочная)'!B33</f>
        <v>Технология технического обслуживания и ремонта судового электрооборудования</v>
      </c>
    </row>
    <row r="32" spans="1:27" x14ac:dyDescent="0.2">
      <c r="A32" s="133"/>
      <c r="B32" s="144" t="str">
        <f>'Учебный план (очная)'!B51</f>
        <v>Судовые электрические машины</v>
      </c>
      <c r="C32" s="144">
        <f>'Учебный план (очная)'!C51</f>
        <v>0</v>
      </c>
      <c r="D32" s="144" t="str">
        <f>'Учебный план (очная)'!D51</f>
        <v>4</v>
      </c>
      <c r="E32" s="144">
        <f>'Учебный план (очная)'!E51</f>
        <v>0</v>
      </c>
      <c r="F32" s="144">
        <f>'Учебный план (очная)'!F51</f>
        <v>0</v>
      </c>
      <c r="G32" s="144">
        <f>'Учебный план (очная)'!G51</f>
        <v>0</v>
      </c>
      <c r="H32" s="144">
        <f>'Учебный план (очная)'!H51</f>
        <v>0</v>
      </c>
      <c r="I32" s="136"/>
      <c r="J32" s="140"/>
      <c r="K32" s="240">
        <f>'Учебный план (очная)'!K51</f>
        <v>96</v>
      </c>
      <c r="L32" s="138">
        <f t="shared" ref="L32:L43" si="14">SUM(M32:Q32)</f>
        <v>3</v>
      </c>
      <c r="M32" s="138">
        <f t="shared" ref="M32:M43" si="15">U32+AC32+AK32+AS32+BA32+BI32+BQ32+BY32+CG32+CO32</f>
        <v>3</v>
      </c>
      <c r="N32" s="138">
        <f t="shared" ref="N32:N43" si="16">V32+AD32+AL32+AT32+BB32+BJ32+BR32+BZ32+CH32+CP32</f>
        <v>0</v>
      </c>
      <c r="O32" s="138">
        <f t="shared" ref="O32:O43" si="17">W32+AE32+AM32+AU32+BC32+BK32+BS32+CA32+CI32+CQ32</f>
        <v>0</v>
      </c>
      <c r="P32" s="138">
        <f t="shared" ref="P32:P43" si="18">X32+AF32+AN32+AV32+BD32+BL32+BT32+CB32+CJ32+CR32</f>
        <v>0</v>
      </c>
      <c r="Q32" s="138">
        <f t="shared" ref="Q32:Q43" si="19">Y32+AG32+AO32+AW32+BE32+BM32+BU32+CC32+CK32+CS32</f>
        <v>0</v>
      </c>
      <c r="R32" s="138" t="e">
        <f t="shared" ref="R32:R43" si="20">AA32+AH32+AP32+AX32+BF32+BN32+BV32+CD32+CL32+CT32</f>
        <v>#VALUE!</v>
      </c>
      <c r="S32" s="160" t="e">
        <f>#REF!+AI32+AQ32+AY32+BG32+BO32+BW32+CE32+CM32+CU32</f>
        <v>#REF!</v>
      </c>
      <c r="T32" s="241">
        <f>'Учебный план (заочная)'!M34</f>
        <v>96</v>
      </c>
      <c r="U32" s="242" t="str">
        <f>'Учебный план (заочная)'!D34</f>
        <v>3</v>
      </c>
      <c r="V32" s="242">
        <f>'Учебный план (заочная)'!E34</f>
        <v>0</v>
      </c>
      <c r="W32" s="242">
        <f>'Учебный план (заочная)'!F34</f>
        <v>0</v>
      </c>
      <c r="X32" s="242">
        <f>'Учебный план (заочная)'!G34</f>
        <v>0</v>
      </c>
      <c r="Y32" s="242">
        <f>'Учебный план (заочная)'!H34</f>
        <v>0</v>
      </c>
      <c r="Z32" s="242"/>
      <c r="AA32" s="292" t="str">
        <f>'Учебный план (заочная)'!B34</f>
        <v>Судовые электрические машины</v>
      </c>
    </row>
    <row r="33" spans="1:27" ht="38.25" x14ac:dyDescent="0.2">
      <c r="A33" s="133"/>
      <c r="B33" s="144" t="str">
        <f>'Учебный план (очная)'!B52</f>
        <v>Электрические системы автоматики и контроля судовых технических средств</v>
      </c>
      <c r="C33" s="144">
        <f>'Учебный план (очная)'!C52</f>
        <v>0</v>
      </c>
      <c r="D33" s="144">
        <f>'Учебный план (очная)'!D52</f>
        <v>0</v>
      </c>
      <c r="E33" s="144" t="str">
        <f>'Учебный план (очная)'!E52</f>
        <v>8</v>
      </c>
      <c r="F33" s="144">
        <f>'Учебный план (очная)'!F52</f>
        <v>0</v>
      </c>
      <c r="G33" s="144">
        <f>'Учебный план (очная)'!G52</f>
        <v>0</v>
      </c>
      <c r="H33" s="144">
        <f>'Учебный план (очная)'!H52</f>
        <v>0</v>
      </c>
      <c r="I33" s="136"/>
      <c r="J33" s="140"/>
      <c r="K33" s="240">
        <f>'Учебный план (очная)'!K52</f>
        <v>140</v>
      </c>
      <c r="L33" s="138">
        <f t="shared" si="14"/>
        <v>7</v>
      </c>
      <c r="M33" s="138">
        <f t="shared" si="15"/>
        <v>0</v>
      </c>
      <c r="N33" s="138">
        <f t="shared" si="16"/>
        <v>4</v>
      </c>
      <c r="O33" s="138">
        <f t="shared" si="17"/>
        <v>0</v>
      </c>
      <c r="P33" s="138">
        <f t="shared" si="18"/>
        <v>0</v>
      </c>
      <c r="Q33" s="138">
        <f t="shared" si="19"/>
        <v>3</v>
      </c>
      <c r="R33" s="138" t="e">
        <f t="shared" si="20"/>
        <v>#VALUE!</v>
      </c>
      <c r="S33" s="160" t="e">
        <f>#REF!+AI33+AQ33+AY33+BG33+BO33+BW33+CE33+CM33+CU33</f>
        <v>#REF!</v>
      </c>
      <c r="T33" s="241">
        <f>'Учебный план (заочная)'!M35</f>
        <v>140</v>
      </c>
      <c r="U33" s="242">
        <f>'Учебный план (заочная)'!D35</f>
        <v>0</v>
      </c>
      <c r="V33" s="242" t="str">
        <f>'Учебный план (заочная)'!E35</f>
        <v>4</v>
      </c>
      <c r="W33" s="242">
        <f>'Учебный план (заочная)'!F35</f>
        <v>0</v>
      </c>
      <c r="X33" s="242">
        <f>'Учебный план (заочная)'!G35</f>
        <v>0</v>
      </c>
      <c r="Y33" s="242" t="str">
        <f>'Учебный план (заочная)'!H35</f>
        <v>3</v>
      </c>
      <c r="Z33" s="242"/>
      <c r="AA33" s="292" t="str">
        <f>'Учебный план (заочная)'!B35</f>
        <v>Электрические системы автоматики и контроля судовых технических средств</v>
      </c>
    </row>
    <row r="34" spans="1:27" ht="25.5" x14ac:dyDescent="0.2">
      <c r="A34" s="133"/>
      <c r="B34" s="144" t="str">
        <f>'Учебный план (очная)'!B53</f>
        <v>Силовая преобразовательная техника</v>
      </c>
      <c r="C34" s="144">
        <f>'Учебный план (очная)'!C53</f>
        <v>0</v>
      </c>
      <c r="D34" s="144">
        <f>'Учебный план (очная)'!D53</f>
        <v>0</v>
      </c>
      <c r="E34" s="144" t="str">
        <f>'Учебный план (очная)'!E53</f>
        <v>5</v>
      </c>
      <c r="F34" s="144">
        <f>'Учебный план (очная)'!F53</f>
        <v>0</v>
      </c>
      <c r="G34" s="144">
        <f>'Учебный план (очная)'!G53</f>
        <v>0</v>
      </c>
      <c r="H34" s="144">
        <f>'Учебный план (очная)'!H53</f>
        <v>0</v>
      </c>
      <c r="I34" s="136"/>
      <c r="J34" s="140"/>
      <c r="K34" s="240">
        <f>'Учебный план (очная)'!K53</f>
        <v>56</v>
      </c>
      <c r="L34" s="138">
        <f t="shared" si="14"/>
        <v>3</v>
      </c>
      <c r="M34" s="138">
        <f t="shared" si="15"/>
        <v>0</v>
      </c>
      <c r="N34" s="138">
        <f t="shared" si="16"/>
        <v>3</v>
      </c>
      <c r="O34" s="138">
        <f t="shared" si="17"/>
        <v>0</v>
      </c>
      <c r="P34" s="138">
        <f t="shared" si="18"/>
        <v>0</v>
      </c>
      <c r="Q34" s="138">
        <f t="shared" si="19"/>
        <v>0</v>
      </c>
      <c r="R34" s="138" t="e">
        <f t="shared" si="20"/>
        <v>#VALUE!</v>
      </c>
      <c r="S34" s="160" t="e">
        <f>#REF!+AI34+AQ34+AY34+BG34+BO34+BW34+CE34+CM34+CU34</f>
        <v>#REF!</v>
      </c>
      <c r="T34" s="241">
        <f>'Учебный план (заочная)'!M36</f>
        <v>56</v>
      </c>
      <c r="U34" s="242">
        <f>'Учебный план (заочная)'!D36</f>
        <v>0</v>
      </c>
      <c r="V34" s="242" t="str">
        <f>'Учебный план (заочная)'!E36</f>
        <v>3</v>
      </c>
      <c r="W34" s="242">
        <f>'Учебный план (заочная)'!F36</f>
        <v>0</v>
      </c>
      <c r="X34" s="242">
        <f>'Учебный план (заочная)'!G36</f>
        <v>0</v>
      </c>
      <c r="Y34" s="242">
        <f>'Учебный план (заочная)'!H36</f>
        <v>0</v>
      </c>
      <c r="Z34" s="242"/>
      <c r="AA34" s="292" t="str">
        <f>'Учебный план (заочная)'!B36</f>
        <v>Силовая преобразовательная техника</v>
      </c>
    </row>
    <row r="35" spans="1:27" x14ac:dyDescent="0.2">
      <c r="A35" s="133"/>
      <c r="B35" s="144" t="str">
        <f>'Учебный план (очная)'!B54</f>
        <v>Судовые электроприводы</v>
      </c>
      <c r="C35" s="144">
        <f>'Учебный план (очная)'!C54</f>
        <v>0</v>
      </c>
      <c r="D35" s="144">
        <f>'Учебный план (очная)'!D54</f>
        <v>0</v>
      </c>
      <c r="E35" s="144" t="str">
        <f>'Учебный план (очная)'!E54</f>
        <v>8</v>
      </c>
      <c r="F35" s="144">
        <f>'Учебный план (очная)'!F54</f>
        <v>0</v>
      </c>
      <c r="G35" s="144" t="str">
        <f>'Учебный план (очная)'!G54</f>
        <v>8</v>
      </c>
      <c r="H35" s="144" t="str">
        <f>'Учебный план (очная)'!H54</f>
        <v>6</v>
      </c>
      <c r="I35" s="136"/>
      <c r="J35" s="140"/>
      <c r="K35" s="240">
        <f>'Учебный план (очная)'!K54</f>
        <v>184</v>
      </c>
      <c r="L35" s="138">
        <f t="shared" si="14"/>
        <v>11</v>
      </c>
      <c r="M35" s="138">
        <f t="shared" si="15"/>
        <v>0</v>
      </c>
      <c r="N35" s="138">
        <f t="shared" si="16"/>
        <v>4</v>
      </c>
      <c r="O35" s="138">
        <f t="shared" si="17"/>
        <v>0</v>
      </c>
      <c r="P35" s="138">
        <f t="shared" si="18"/>
        <v>4</v>
      </c>
      <c r="Q35" s="138">
        <f t="shared" si="19"/>
        <v>3</v>
      </c>
      <c r="R35" s="138" t="e">
        <f t="shared" si="20"/>
        <v>#VALUE!</v>
      </c>
      <c r="S35" s="160" t="e">
        <f>#REF!+AI35+AQ35+AY35+BG35+BO35+BW35+CE35+CM35+CU35</f>
        <v>#REF!</v>
      </c>
      <c r="T35" s="241">
        <f>'Учебный план (заочная)'!M37</f>
        <v>184</v>
      </c>
      <c r="U35" s="242">
        <f>'Учебный план (заочная)'!D37</f>
        <v>0</v>
      </c>
      <c r="V35" s="242" t="str">
        <f>'Учебный план (заочная)'!E37</f>
        <v>4</v>
      </c>
      <c r="W35" s="242">
        <f>'Учебный план (заочная)'!F37</f>
        <v>0</v>
      </c>
      <c r="X35" s="242" t="str">
        <f>'Учебный план (заочная)'!G37</f>
        <v>4</v>
      </c>
      <c r="Y35" s="242" t="str">
        <f>'Учебный план (заочная)'!H37</f>
        <v>3</v>
      </c>
      <c r="Z35" s="242"/>
      <c r="AA35" s="292" t="str">
        <f>'Учебный план (заочная)'!B37</f>
        <v>Судовые электроприводы</v>
      </c>
    </row>
    <row r="36" spans="1:27" ht="25.5" x14ac:dyDescent="0.2">
      <c r="A36" s="133"/>
      <c r="B36" s="144" t="str">
        <f>'Учебный план (очная)'!B55</f>
        <v>Судовые автоматизированные электроэнергетические системы</v>
      </c>
      <c r="C36" s="144">
        <f>'Учебный план (очная)'!C55</f>
        <v>0</v>
      </c>
      <c r="D36" s="144">
        <f>'Учебный план (очная)'!D55</f>
        <v>0</v>
      </c>
      <c r="E36" s="144" t="str">
        <f>'Учебный план (очная)'!E55</f>
        <v>6,8</v>
      </c>
      <c r="F36" s="144">
        <f>'Учебный план (очная)'!F55</f>
        <v>0</v>
      </c>
      <c r="G36" s="144" t="str">
        <f>'Учебный план (очная)'!G55</f>
        <v>5</v>
      </c>
      <c r="H36" s="144">
        <f>'Учебный план (очная)'!H55</f>
        <v>0</v>
      </c>
      <c r="I36" s="136"/>
      <c r="J36" s="140"/>
      <c r="K36" s="240">
        <f>'Учебный план (очная)'!K55</f>
        <v>199</v>
      </c>
      <c r="L36" s="138">
        <f t="shared" si="14"/>
        <v>11</v>
      </c>
      <c r="M36" s="138">
        <f t="shared" si="15"/>
        <v>0</v>
      </c>
      <c r="N36" s="138">
        <f t="shared" si="16"/>
        <v>4</v>
      </c>
      <c r="O36" s="138">
        <f t="shared" si="17"/>
        <v>0</v>
      </c>
      <c r="P36" s="138">
        <f t="shared" si="18"/>
        <v>4</v>
      </c>
      <c r="Q36" s="138">
        <f t="shared" si="19"/>
        <v>3</v>
      </c>
      <c r="R36" s="138" t="e">
        <f t="shared" si="20"/>
        <v>#VALUE!</v>
      </c>
      <c r="S36" s="160" t="e">
        <f>#REF!+AI36+AQ36+AY36+BG36+BO36+BW36+CE36+CM36+CU36</f>
        <v>#REF!</v>
      </c>
      <c r="T36" s="241">
        <f>'Учебный план (заочная)'!M38</f>
        <v>199</v>
      </c>
      <c r="U36" s="242">
        <f>'Учебный план (заочная)'!D38</f>
        <v>0</v>
      </c>
      <c r="V36" s="242" t="str">
        <f>'Учебный план (заочная)'!E38</f>
        <v>4</v>
      </c>
      <c r="W36" s="242">
        <f>'Учебный план (заочная)'!F38</f>
        <v>0</v>
      </c>
      <c r="X36" s="242" t="str">
        <f>'Учебный план (заочная)'!G38</f>
        <v>4</v>
      </c>
      <c r="Y36" s="242" t="str">
        <f>'Учебный план (заочная)'!H38</f>
        <v>3</v>
      </c>
      <c r="Z36" s="242"/>
      <c r="AA36" s="292" t="str">
        <f>'Учебный план (заочная)'!B38</f>
        <v>Судовые автоматизированные электроэнергетические системы</v>
      </c>
    </row>
    <row r="37" spans="1:27" x14ac:dyDescent="0.2">
      <c r="A37" s="133"/>
      <c r="B37" s="144" t="str">
        <f>'Учебный план (очная)'!B56</f>
        <v>Электрические аппараты</v>
      </c>
      <c r="C37" s="144">
        <f>'Учебный план (очная)'!C56</f>
        <v>0</v>
      </c>
      <c r="D37" s="144">
        <f>'Учебный план (очная)'!D56</f>
        <v>0</v>
      </c>
      <c r="E37" s="144" t="str">
        <f>'Учебный план (очная)'!E56</f>
        <v>5</v>
      </c>
      <c r="F37" s="144">
        <f>'Учебный план (очная)'!F56</f>
        <v>0</v>
      </c>
      <c r="G37" s="144">
        <f>'Учебный план (очная)'!G56</f>
        <v>0</v>
      </c>
      <c r="H37" s="144">
        <f>'Учебный план (очная)'!H56</f>
        <v>0</v>
      </c>
      <c r="I37" s="136"/>
      <c r="J37" s="140"/>
      <c r="K37" s="240">
        <f>'Учебный план (очная)'!K56</f>
        <v>55</v>
      </c>
      <c r="L37" s="138">
        <f t="shared" ref="L37:L40" si="21">SUM(M37:Q37)</f>
        <v>3</v>
      </c>
      <c r="M37" s="138">
        <f t="shared" ref="M37:M40" si="22">U37+AC37+AK37+AS37+BA37+BI37+BQ37+BY37+CG37+CO37</f>
        <v>0</v>
      </c>
      <c r="N37" s="138">
        <f t="shared" ref="N37:N40" si="23">V37+AD37+AL37+AT37+BB37+BJ37+BR37+BZ37+CH37+CP37</f>
        <v>3</v>
      </c>
      <c r="O37" s="138">
        <f t="shared" ref="O37:O40" si="24">W37+AE37+AM37+AU37+BC37+BK37+BS37+CA37+CI37+CQ37</f>
        <v>0</v>
      </c>
      <c r="P37" s="138">
        <f t="shared" ref="P37:P40" si="25">X37+AF37+AN37+AV37+BD37+BL37+BT37+CB37+CJ37+CR37</f>
        <v>0</v>
      </c>
      <c r="Q37" s="138">
        <f t="shared" ref="Q37:Q40" si="26">Y37+AG37+AO37+AW37+BE37+BM37+BU37+CC37+CK37+CS37</f>
        <v>0</v>
      </c>
      <c r="R37" s="138" t="e">
        <f t="shared" ref="R37:R40" si="27">AA37+AH37+AP37+AX37+BF37+BN37+BV37+CD37+CL37+CT37</f>
        <v>#VALUE!</v>
      </c>
      <c r="S37" s="160" t="e">
        <f>#REF!+AI37+AQ37+AY37+BG37+BO37+BW37+CE37+CM37+CU37</f>
        <v>#REF!</v>
      </c>
      <c r="T37" s="241">
        <f>'Учебный план (заочная)'!M39</f>
        <v>55</v>
      </c>
      <c r="U37" s="242">
        <f>'Учебный план (заочная)'!D39</f>
        <v>0</v>
      </c>
      <c r="V37" s="242" t="str">
        <f>'Учебный план (заочная)'!E39</f>
        <v>3</v>
      </c>
      <c r="W37" s="242">
        <f>'Учебный план (заочная)'!F39</f>
        <v>0</v>
      </c>
      <c r="X37" s="242">
        <f>'Учебный план (заочная)'!G39</f>
        <v>0</v>
      </c>
      <c r="Y37" s="242">
        <f>'Учебный план (заочная)'!H39</f>
        <v>0</v>
      </c>
      <c r="Z37" s="242"/>
      <c r="AA37" s="292" t="str">
        <f>'Учебный план (заочная)'!B39</f>
        <v>Электрические аппараты</v>
      </c>
    </row>
    <row r="38" spans="1:27" ht="25.5" x14ac:dyDescent="0.2">
      <c r="A38" s="133"/>
      <c r="B38" s="144" t="str">
        <f>'Учебный план (очная)'!B57</f>
        <v>Микропроцессорные системы  управления</v>
      </c>
      <c r="C38" s="144">
        <f>'Учебный план (очная)'!C57</f>
        <v>0</v>
      </c>
      <c r="D38" s="144" t="str">
        <f>'Учебный план (очная)'!D57</f>
        <v>6</v>
      </c>
      <c r="E38" s="144">
        <f>'Учебный план (очная)'!E57</f>
        <v>0</v>
      </c>
      <c r="F38" s="144">
        <f>'Учебный план (очная)'!F57</f>
        <v>0</v>
      </c>
      <c r="G38" s="144">
        <f>'Учебный план (очная)'!G57</f>
        <v>0</v>
      </c>
      <c r="H38" s="144" t="str">
        <f>'Учебный план (очная)'!H57</f>
        <v>5</v>
      </c>
      <c r="I38" s="136"/>
      <c r="J38" s="140"/>
      <c r="K38" s="240">
        <f>'Учебный план (очная)'!K57</f>
        <v>81</v>
      </c>
      <c r="L38" s="138">
        <f t="shared" si="21"/>
        <v>6</v>
      </c>
      <c r="M38" s="138">
        <f t="shared" si="22"/>
        <v>3</v>
      </c>
      <c r="N38" s="138">
        <f t="shared" si="23"/>
        <v>0</v>
      </c>
      <c r="O38" s="138">
        <f t="shared" si="24"/>
        <v>0</v>
      </c>
      <c r="P38" s="138">
        <f t="shared" si="25"/>
        <v>0</v>
      </c>
      <c r="Q38" s="138">
        <f t="shared" si="26"/>
        <v>3</v>
      </c>
      <c r="R38" s="138" t="e">
        <f t="shared" si="27"/>
        <v>#VALUE!</v>
      </c>
      <c r="S38" s="160" t="e">
        <f>#REF!+AI38+AQ38+AY38+BG38+BO38+BW38+CE38+CM38+CU38</f>
        <v>#REF!</v>
      </c>
      <c r="T38" s="241">
        <f>'Учебный план (заочная)'!M40</f>
        <v>81</v>
      </c>
      <c r="U38" s="242" t="str">
        <f>'Учебный план (заочная)'!D40</f>
        <v>3</v>
      </c>
      <c r="V38" s="242">
        <f>'Учебный план (заочная)'!E40</f>
        <v>0</v>
      </c>
      <c r="W38" s="242">
        <f>'Учебный план (заочная)'!F40</f>
        <v>0</v>
      </c>
      <c r="X38" s="242">
        <f>'Учебный план (заочная)'!G40</f>
        <v>0</v>
      </c>
      <c r="Y38" s="242" t="str">
        <f>'Учебный план (заочная)'!H40</f>
        <v>3</v>
      </c>
      <c r="Z38" s="242"/>
      <c r="AA38" s="292" t="str">
        <f>'Учебный план (заочная)'!B40</f>
        <v>Микропроцессорные системы  управления</v>
      </c>
    </row>
    <row r="39" spans="1:27" ht="25.5" x14ac:dyDescent="0.2">
      <c r="A39" s="133"/>
      <c r="B39" s="144" t="str">
        <f>'Учебный план (очная)'!B58</f>
        <v>Судовые энергетические установки и их эксплуатация</v>
      </c>
      <c r="C39" s="144">
        <f>'Учебный план (очная)'!C58</f>
        <v>0</v>
      </c>
      <c r="D39" s="144" t="str">
        <f>'Учебный план (очная)'!D58</f>
        <v>6</v>
      </c>
      <c r="E39" s="144">
        <f>'Учебный план (очная)'!E58</f>
        <v>0</v>
      </c>
      <c r="F39" s="144">
        <f>'Учебный план (очная)'!F58</f>
        <v>0</v>
      </c>
      <c r="G39" s="144">
        <f>'Учебный план (очная)'!G58</f>
        <v>0</v>
      </c>
      <c r="H39" s="144" t="str">
        <f>'Учебный план (очная)'!H58</f>
        <v>5</v>
      </c>
      <c r="I39" s="136"/>
      <c r="J39" s="140"/>
      <c r="K39" s="240">
        <f>'Учебный план (очная)'!K58</f>
        <v>108</v>
      </c>
      <c r="L39" s="138">
        <f t="shared" si="21"/>
        <v>5</v>
      </c>
      <c r="M39" s="138">
        <f t="shared" si="22"/>
        <v>3</v>
      </c>
      <c r="N39" s="138">
        <f t="shared" si="23"/>
        <v>0</v>
      </c>
      <c r="O39" s="138">
        <f t="shared" si="24"/>
        <v>0</v>
      </c>
      <c r="P39" s="138">
        <f t="shared" si="25"/>
        <v>0</v>
      </c>
      <c r="Q39" s="138">
        <f t="shared" si="26"/>
        <v>2</v>
      </c>
      <c r="R39" s="138" t="e">
        <f t="shared" si="27"/>
        <v>#VALUE!</v>
      </c>
      <c r="S39" s="160" t="e">
        <f>#REF!+AI39+AQ39+AY39+BG39+BO39+BW39+CE39+CM39+CU39</f>
        <v>#REF!</v>
      </c>
      <c r="T39" s="241">
        <f>'Учебный план (заочная)'!M41</f>
        <v>108</v>
      </c>
      <c r="U39" s="242" t="str">
        <f>'Учебный план (заочная)'!D41</f>
        <v>3</v>
      </c>
      <c r="V39" s="242">
        <f>'Учебный план (заочная)'!E41</f>
        <v>0</v>
      </c>
      <c r="W39" s="242">
        <f>'Учебный план (заочная)'!F41</f>
        <v>0</v>
      </c>
      <c r="X39" s="242">
        <f>'Учебный план (заочная)'!G41</f>
        <v>0</v>
      </c>
      <c r="Y39" s="242" t="str">
        <f>'Учебный план (заочная)'!H41</f>
        <v>2</v>
      </c>
      <c r="Z39" s="242"/>
      <c r="AA39" s="292" t="str">
        <f>'Учебный план (заочная)'!B41</f>
        <v>Судовые энергетические установки и их эксплуатация</v>
      </c>
    </row>
    <row r="40" spans="1:27" ht="25.5" x14ac:dyDescent="0.2">
      <c r="A40" s="133"/>
      <c r="B40" s="144" t="str">
        <f>'Учебный план (очная)'!B59</f>
        <v>Предотвращение загрязнения морской окуржающей среды</v>
      </c>
      <c r="C40" s="144">
        <f>'Учебный план (очная)'!C59</f>
        <v>0</v>
      </c>
      <c r="D40" s="144">
        <f>'Учебный план (очная)'!D59</f>
        <v>0</v>
      </c>
      <c r="E40" s="144" t="str">
        <f>'Учебный план (очная)'!E59</f>
        <v>6</v>
      </c>
      <c r="F40" s="144">
        <f>'Учебный план (очная)'!F59</f>
        <v>0</v>
      </c>
      <c r="G40" s="144">
        <f>'Учебный план (очная)'!G59</f>
        <v>0</v>
      </c>
      <c r="H40" s="144">
        <f>'Учебный план (очная)'!H59</f>
        <v>0</v>
      </c>
      <c r="I40" s="136"/>
      <c r="J40" s="140"/>
      <c r="K40" s="240">
        <f>'Учебный план (очная)'!K59</f>
        <v>53</v>
      </c>
      <c r="L40" s="138">
        <f t="shared" si="21"/>
        <v>3</v>
      </c>
      <c r="M40" s="138">
        <f t="shared" si="22"/>
        <v>0</v>
      </c>
      <c r="N40" s="138">
        <f t="shared" si="23"/>
        <v>3</v>
      </c>
      <c r="O40" s="138">
        <f t="shared" si="24"/>
        <v>0</v>
      </c>
      <c r="P40" s="138">
        <f t="shared" si="25"/>
        <v>0</v>
      </c>
      <c r="Q40" s="138">
        <f t="shared" si="26"/>
        <v>0</v>
      </c>
      <c r="R40" s="138" t="e">
        <f t="shared" si="27"/>
        <v>#VALUE!</v>
      </c>
      <c r="S40" s="160" t="e">
        <f>#REF!+AI40+AQ40+AY40+BG40+BO40+BW40+CE40+CM40+CU40</f>
        <v>#REF!</v>
      </c>
      <c r="T40" s="241">
        <f>'Учебный план (заочная)'!M42</f>
        <v>53</v>
      </c>
      <c r="U40" s="242">
        <f>'Учебный план (заочная)'!D42</f>
        <v>0</v>
      </c>
      <c r="V40" s="242" t="str">
        <f>'Учебный план (заочная)'!E42</f>
        <v>3</v>
      </c>
      <c r="W40" s="242">
        <f>'Учебный план (заочная)'!F42</f>
        <v>0</v>
      </c>
      <c r="X40" s="242">
        <f>'Учебный план (заочная)'!G42</f>
        <v>0</v>
      </c>
      <c r="Y40" s="242">
        <f>'Учебный план (заочная)'!H42</f>
        <v>0</v>
      </c>
      <c r="Z40" s="242"/>
      <c r="AA40" s="292" t="str">
        <f>'Учебный план (заочная)'!B42</f>
        <v>Предотвращение загрязнения морской окуржающей среды</v>
      </c>
    </row>
    <row r="41" spans="1:27" hidden="1" x14ac:dyDescent="0.2">
      <c r="A41" s="133"/>
      <c r="B41" s="144" t="e">
        <f>'Учебный план (очная)'!#REF!</f>
        <v>#REF!</v>
      </c>
      <c r="C41" s="144" t="e">
        <f>'Учебный план (очная)'!#REF!</f>
        <v>#REF!</v>
      </c>
      <c r="D41" s="144" t="e">
        <f>'Учебный план (очная)'!#REF!</f>
        <v>#REF!</v>
      </c>
      <c r="E41" s="144" t="e">
        <f>'Учебный план (очная)'!#REF!</f>
        <v>#REF!</v>
      </c>
      <c r="F41" s="144" t="e">
        <f>'Учебный план (очная)'!#REF!</f>
        <v>#REF!</v>
      </c>
      <c r="G41" s="144" t="e">
        <f>'Учебный план (очная)'!#REF!</f>
        <v>#REF!</v>
      </c>
      <c r="H41" s="144" t="e">
        <f>'Учебный план (очная)'!#REF!</f>
        <v>#REF!</v>
      </c>
      <c r="I41" s="136"/>
      <c r="J41" s="140"/>
      <c r="K41" s="240" t="e">
        <f>'Учебный план (очная)'!#REF!</f>
        <v>#REF!</v>
      </c>
      <c r="L41" s="138" t="e">
        <f t="shared" si="14"/>
        <v>#REF!</v>
      </c>
      <c r="M41" s="138" t="e">
        <f t="shared" si="15"/>
        <v>#REF!</v>
      </c>
      <c r="N41" s="138" t="e">
        <f t="shared" si="16"/>
        <v>#REF!</v>
      </c>
      <c r="O41" s="138" t="e">
        <f t="shared" si="17"/>
        <v>#REF!</v>
      </c>
      <c r="P41" s="138" t="e">
        <f t="shared" si="18"/>
        <v>#REF!</v>
      </c>
      <c r="Q41" s="138" t="e">
        <f t="shared" si="19"/>
        <v>#REF!</v>
      </c>
      <c r="R41" s="138" t="e">
        <f t="shared" si="20"/>
        <v>#REF!</v>
      </c>
      <c r="S41" s="160" t="e">
        <f>#REF!+AI41+AQ41+AY41+BG41+BO41+BW41+CE41+CM41+CU41</f>
        <v>#REF!</v>
      </c>
      <c r="T41" s="241" t="e">
        <f>'Учебный план (заочная)'!#REF!</f>
        <v>#REF!</v>
      </c>
      <c r="U41" s="242" t="e">
        <f>'Учебный план (заочная)'!#REF!</f>
        <v>#REF!</v>
      </c>
      <c r="V41" s="242" t="e">
        <f>'Учебный план (заочная)'!#REF!</f>
        <v>#REF!</v>
      </c>
      <c r="W41" s="242" t="e">
        <f>'Учебный план (заочная)'!#REF!</f>
        <v>#REF!</v>
      </c>
      <c r="X41" s="242" t="e">
        <f>'Учебный план (заочная)'!#REF!</f>
        <v>#REF!</v>
      </c>
      <c r="Y41" s="242" t="e">
        <f>'Учебный план (заочная)'!#REF!</f>
        <v>#REF!</v>
      </c>
      <c r="Z41" s="242"/>
      <c r="AA41" s="292" t="e">
        <f>'Учебный план (заочная)'!#REF!</f>
        <v>#REF!</v>
      </c>
    </row>
    <row r="42" spans="1:27" x14ac:dyDescent="0.2">
      <c r="A42" s="133"/>
      <c r="B42" s="144">
        <f>'Учебный план (очная)'!B60</f>
        <v>0</v>
      </c>
      <c r="C42" s="144">
        <f>'Учебный план (очная)'!C60</f>
        <v>0</v>
      </c>
      <c r="D42" s="144" t="str">
        <f>'Учебный план (очная)'!D60</f>
        <v>8</v>
      </c>
      <c r="E42" s="144">
        <f>'Учебный план (очная)'!E60</f>
        <v>0</v>
      </c>
      <c r="F42" s="144">
        <f>'Учебный план (очная)'!F60</f>
        <v>0</v>
      </c>
      <c r="G42" s="144">
        <f>'Учебный план (очная)'!G60</f>
        <v>0</v>
      </c>
      <c r="H42" s="144">
        <f>'Учебный план (очная)'!H60</f>
        <v>0</v>
      </c>
      <c r="I42" s="136"/>
      <c r="J42" s="140"/>
      <c r="K42" s="240">
        <f>'Учебный план (очная)'!K60</f>
        <v>0</v>
      </c>
      <c r="L42" s="138">
        <f t="shared" si="14"/>
        <v>4</v>
      </c>
      <c r="M42" s="138">
        <f t="shared" si="15"/>
        <v>4</v>
      </c>
      <c r="N42" s="138">
        <f t="shared" si="16"/>
        <v>0</v>
      </c>
      <c r="O42" s="138">
        <f t="shared" si="17"/>
        <v>0</v>
      </c>
      <c r="P42" s="138">
        <f t="shared" si="18"/>
        <v>0</v>
      </c>
      <c r="Q42" s="138">
        <f t="shared" si="19"/>
        <v>0</v>
      </c>
      <c r="R42" s="138">
        <f t="shared" si="20"/>
        <v>0</v>
      </c>
      <c r="S42" s="160" t="e">
        <f>#REF!+AI42+AQ42+AY42+BG42+BO42+BW42+CE42+CM42+CU42</f>
        <v>#REF!</v>
      </c>
      <c r="T42" s="241">
        <f>'Учебный план (заочная)'!M43</f>
        <v>0</v>
      </c>
      <c r="U42" s="242">
        <f>'Учебный план (заочная)'!D43</f>
        <v>4</v>
      </c>
      <c r="V42" s="242">
        <f>'Учебный план (заочная)'!E43</f>
        <v>0</v>
      </c>
      <c r="W42" s="242">
        <f>'Учебный план (заочная)'!F43</f>
        <v>0</v>
      </c>
      <c r="X42" s="242">
        <f>'Учебный план (заочная)'!G43</f>
        <v>0</v>
      </c>
      <c r="Y42" s="242">
        <f>'Учебный план (заочная)'!H43</f>
        <v>0</v>
      </c>
      <c r="Z42" s="242"/>
      <c r="AA42" s="292">
        <f>'Учебный план (заочная)'!B43</f>
        <v>0</v>
      </c>
    </row>
    <row r="43" spans="1:27" ht="25.5" x14ac:dyDescent="0.2">
      <c r="A43" s="132" t="s">
        <v>370</v>
      </c>
      <c r="B43" s="308" t="str">
        <f>'Учебный план (очная)'!B61</f>
        <v xml:space="preserve">Организация работы коллектива исполнителей </v>
      </c>
      <c r="C43" s="308">
        <f>'Учебный план (очная)'!C61</f>
        <v>0</v>
      </c>
      <c r="D43" s="308">
        <f>'Учебный план (очная)'!D61</f>
        <v>0</v>
      </c>
      <c r="E43" s="308">
        <f>'Учебный план (очная)'!E61</f>
        <v>0</v>
      </c>
      <c r="F43" s="308">
        <f>'Учебный план (очная)'!F61</f>
        <v>0</v>
      </c>
      <c r="G43" s="308">
        <f>'Учебный план (очная)'!G61</f>
        <v>0</v>
      </c>
      <c r="H43" s="308">
        <f>'Учебный план (очная)'!H61</f>
        <v>0</v>
      </c>
      <c r="I43" s="285"/>
      <c r="J43" s="309"/>
      <c r="K43" s="239">
        <f>'Учебный план (очная)'!K61</f>
        <v>123</v>
      </c>
      <c r="L43" s="274">
        <f t="shared" si="14"/>
        <v>0</v>
      </c>
      <c r="M43" s="274">
        <f t="shared" si="15"/>
        <v>0</v>
      </c>
      <c r="N43" s="274">
        <f t="shared" si="16"/>
        <v>0</v>
      </c>
      <c r="O43" s="274">
        <f t="shared" si="17"/>
        <v>0</v>
      </c>
      <c r="P43" s="274">
        <f t="shared" si="18"/>
        <v>0</v>
      </c>
      <c r="Q43" s="274">
        <f t="shared" si="19"/>
        <v>0</v>
      </c>
      <c r="R43" s="274" t="e">
        <f t="shared" si="20"/>
        <v>#VALUE!</v>
      </c>
      <c r="S43" s="289" t="e">
        <f>#REF!+AI43+AQ43+AY43+BG43+BO43+BW43+CE43+CM43+CU43</f>
        <v>#REF!</v>
      </c>
      <c r="T43" s="248">
        <f>'Учебный план (заочная)'!M44</f>
        <v>123</v>
      </c>
      <c r="U43" s="249">
        <f>'Учебный план (заочная)'!D44</f>
        <v>0</v>
      </c>
      <c r="V43" s="249">
        <f>'Учебный план (заочная)'!E44</f>
        <v>0</v>
      </c>
      <c r="W43" s="249">
        <f>'Учебный план (заочная)'!F44</f>
        <v>0</v>
      </c>
      <c r="X43" s="249">
        <f>'Учебный план (заочная)'!G44</f>
        <v>0</v>
      </c>
      <c r="Y43" s="249">
        <f>'Учебный план (заочная)'!H44</f>
        <v>0</v>
      </c>
      <c r="Z43" s="249"/>
      <c r="AA43" s="293" t="str">
        <f>'Учебный план (заочная)'!B44</f>
        <v xml:space="preserve">Организация работы коллектива исполнителей </v>
      </c>
    </row>
    <row r="44" spans="1:27" ht="25.5" x14ac:dyDescent="0.2">
      <c r="A44" s="132" t="s">
        <v>371</v>
      </c>
      <c r="B44" s="144" t="str">
        <f>'Учебный план (очная)'!B63</f>
        <v>Планирование и руководство работы структурного подразделения</v>
      </c>
      <c r="C44" s="144">
        <f>'Учебный план (очная)'!C63</f>
        <v>0</v>
      </c>
      <c r="D44" s="144">
        <f>'Учебный план (очная)'!D63</f>
        <v>0</v>
      </c>
      <c r="E44" s="144" t="str">
        <f>'Учебный план (очная)'!E63</f>
        <v>8</v>
      </c>
      <c r="F44" s="144">
        <f>'Учебный план (очная)'!F63</f>
        <v>0</v>
      </c>
      <c r="G44" s="144">
        <f>'Учебный план (очная)'!G63</f>
        <v>0</v>
      </c>
      <c r="H44" s="144">
        <f>'Учебный план (очная)'!H63</f>
        <v>0</v>
      </c>
      <c r="I44" s="136"/>
      <c r="J44" s="140"/>
      <c r="K44" s="240">
        <f>'Учебный план (очная)'!K63</f>
        <v>56</v>
      </c>
      <c r="L44" s="138">
        <f t="shared" ref="L44:L84" si="28">SUM(M44:Q44)</f>
        <v>6</v>
      </c>
      <c r="M44" s="138">
        <f t="shared" ref="M44:M57" si="29">U44+AC44+AK44+AS44+BA44+BI44+BQ44+BY44+CG44+CO44</f>
        <v>0</v>
      </c>
      <c r="N44" s="138">
        <f t="shared" ref="N44:N57" si="30">V44+AD44+AL44+AT44+BB44+BJ44+BR44+BZ44+CH44+CP44</f>
        <v>3</v>
      </c>
      <c r="O44" s="138">
        <f t="shared" ref="O44:O57" si="31">W44+AE44+AM44+AU44+BC44+BK44+BS44+CA44+CI44+CQ44</f>
        <v>0</v>
      </c>
      <c r="P44" s="138">
        <f t="shared" ref="P44:P57" si="32">X44+AF44+AN44+AV44+BD44+BL44+BT44+CB44+CJ44+CR44</f>
        <v>0</v>
      </c>
      <c r="Q44" s="138">
        <f t="shared" ref="Q44:Q57" si="33">Y44+AG44+AO44+AW44+BE44+BM44+BU44+CC44+CK44+CS44</f>
        <v>3</v>
      </c>
      <c r="R44" s="138" t="e">
        <f t="shared" ref="R44:R54" si="34">AA44+AH44+AP44+AX44+BF44+BN44+BV44+CD44+CL44+CT44</f>
        <v>#VALUE!</v>
      </c>
      <c r="S44" s="160" t="e">
        <f>#REF!+AI44+AQ44+AY44+BG44+BO44+BW44+CE44+CM44+CU44</f>
        <v>#REF!</v>
      </c>
      <c r="T44" s="241">
        <f>'Учебный план (заочная)'!M46</f>
        <v>56</v>
      </c>
      <c r="U44" s="242">
        <f>'Учебный план (заочная)'!D46</f>
        <v>0</v>
      </c>
      <c r="V44" s="242" t="str">
        <f>'Учебный план (заочная)'!E46</f>
        <v>3</v>
      </c>
      <c r="W44" s="242">
        <f>'Учебный план (заочная)'!F46</f>
        <v>0</v>
      </c>
      <c r="X44" s="242">
        <f>'Учебный план (заочная)'!G46</f>
        <v>0</v>
      </c>
      <c r="Y44" s="242" t="str">
        <f>'Учебный план (заочная)'!H46</f>
        <v>3</v>
      </c>
      <c r="Z44" s="242"/>
      <c r="AA44" s="292" t="str">
        <f>'Учебный план (заочная)'!B46</f>
        <v>Планирование и руководство работы структурного подразделения</v>
      </c>
    </row>
    <row r="45" spans="1:27" ht="25.5" x14ac:dyDescent="0.2">
      <c r="A45" s="132" t="s">
        <v>372</v>
      </c>
      <c r="B45" s="144" t="str">
        <f>'Учебный план (очная)'!B64</f>
        <v>Анализ деятельности структурного подразделения</v>
      </c>
      <c r="C45" s="144">
        <f>'Учебный план (очная)'!C64</f>
        <v>0</v>
      </c>
      <c r="D45" s="144">
        <f>'Учебный план (очная)'!D64</f>
        <v>0</v>
      </c>
      <c r="E45" s="144" t="str">
        <f>'Учебный план (очная)'!E64</f>
        <v>8</v>
      </c>
      <c r="F45" s="144">
        <f>'Учебный план (очная)'!F64</f>
        <v>0</v>
      </c>
      <c r="G45" s="144">
        <f>'Учебный план (очная)'!G64</f>
        <v>0</v>
      </c>
      <c r="H45" s="144">
        <f>'Учебный план (очная)'!H64</f>
        <v>0</v>
      </c>
      <c r="I45" s="136"/>
      <c r="J45" s="140"/>
      <c r="K45" s="240">
        <f>'Учебный план (очная)'!K64</f>
        <v>67</v>
      </c>
      <c r="L45" s="138">
        <f t="shared" si="28"/>
        <v>4</v>
      </c>
      <c r="M45" s="138">
        <f t="shared" si="29"/>
        <v>0</v>
      </c>
      <c r="N45" s="138">
        <f t="shared" si="30"/>
        <v>4</v>
      </c>
      <c r="O45" s="138">
        <f t="shared" si="31"/>
        <v>0</v>
      </c>
      <c r="P45" s="138">
        <f t="shared" si="32"/>
        <v>0</v>
      </c>
      <c r="Q45" s="138">
        <f t="shared" si="33"/>
        <v>0</v>
      </c>
      <c r="R45" s="138" t="e">
        <f t="shared" si="34"/>
        <v>#VALUE!</v>
      </c>
      <c r="S45" s="160" t="e">
        <f>#REF!+AI45+AQ45+AY45+BG45+BO45+BW45+CE45+CM45+CU45</f>
        <v>#REF!</v>
      </c>
      <c r="T45" s="241">
        <f>'Учебный план (заочная)'!M47</f>
        <v>67</v>
      </c>
      <c r="U45" s="242">
        <f>'Учебный план (заочная)'!D47</f>
        <v>0</v>
      </c>
      <c r="V45" s="242" t="str">
        <f>'Учебный план (заочная)'!E47</f>
        <v>4</v>
      </c>
      <c r="W45" s="242">
        <f>'Учебный план (заочная)'!F47</f>
        <v>0</v>
      </c>
      <c r="X45" s="242">
        <f>'Учебный план (заочная)'!G47</f>
        <v>0</v>
      </c>
      <c r="Y45" s="242">
        <f>'Учебный план (заочная)'!H47</f>
        <v>0</v>
      </c>
      <c r="Z45" s="242"/>
      <c r="AA45" s="292" t="str">
        <f>'Учебный план (заочная)'!B47</f>
        <v>Анализ деятельности структурного подразделения</v>
      </c>
    </row>
    <row r="46" spans="1:27" x14ac:dyDescent="0.2">
      <c r="A46" s="132" t="s">
        <v>373</v>
      </c>
      <c r="B46" s="144">
        <f>'Учебный план (очная)'!B65</f>
        <v>0</v>
      </c>
      <c r="C46" s="144">
        <f>'Учебный план (очная)'!C65</f>
        <v>0</v>
      </c>
      <c r="D46" s="144" t="str">
        <f>'Учебный план (очная)'!D65</f>
        <v>8</v>
      </c>
      <c r="E46" s="144">
        <f>'Учебный план (очная)'!E65</f>
        <v>0</v>
      </c>
      <c r="F46" s="144">
        <f>'Учебный план (очная)'!F65</f>
        <v>0</v>
      </c>
      <c r="G46" s="144">
        <f>'Учебный план (очная)'!G65</f>
        <v>0</v>
      </c>
      <c r="H46" s="144">
        <f>'Учебный план (очная)'!H65</f>
        <v>0</v>
      </c>
      <c r="I46" s="136"/>
      <c r="J46" s="140"/>
      <c r="K46" s="240">
        <f>'Учебный план (очная)'!K65</f>
        <v>0</v>
      </c>
      <c r="L46" s="138" t="e">
        <f t="shared" si="28"/>
        <v>#REF!</v>
      </c>
      <c r="M46" s="138" t="e">
        <f t="shared" si="29"/>
        <v>#REF!</v>
      </c>
      <c r="N46" s="138" t="e">
        <f t="shared" si="30"/>
        <v>#REF!</v>
      </c>
      <c r="O46" s="138" t="e">
        <f t="shared" si="31"/>
        <v>#REF!</v>
      </c>
      <c r="P46" s="138" t="e">
        <f t="shared" si="32"/>
        <v>#REF!</v>
      </c>
      <c r="Q46" s="138" t="e">
        <f t="shared" si="33"/>
        <v>#REF!</v>
      </c>
      <c r="R46" s="138" t="e">
        <f t="shared" si="34"/>
        <v>#REF!</v>
      </c>
      <c r="S46" s="160" t="e">
        <f>#REF!+AI46+AQ46+AY46+BG46+BO46+BW46+CE46+CM46+CU46</f>
        <v>#REF!</v>
      </c>
      <c r="T46" s="241" t="e">
        <f>'Учебный план (заочная)'!#REF!</f>
        <v>#REF!</v>
      </c>
      <c r="U46" s="242" t="e">
        <f>'Учебный план (заочная)'!#REF!</f>
        <v>#REF!</v>
      </c>
      <c r="V46" s="242" t="e">
        <f>'Учебный план (заочная)'!#REF!</f>
        <v>#REF!</v>
      </c>
      <c r="W46" s="242" t="e">
        <f>'Учебный план (заочная)'!#REF!</f>
        <v>#REF!</v>
      </c>
      <c r="X46" s="242" t="e">
        <f>'Учебный план (заочная)'!#REF!</f>
        <v>#REF!</v>
      </c>
      <c r="Y46" s="242" t="e">
        <f>'Учебный план (заочная)'!#REF!</f>
        <v>#REF!</v>
      </c>
      <c r="Z46" s="242"/>
      <c r="AA46" s="292" t="e">
        <f>'Учебный план (заочная)'!#REF!</f>
        <v>#REF!</v>
      </c>
    </row>
    <row r="47" spans="1:27" ht="25.5" x14ac:dyDescent="0.2">
      <c r="A47" s="132"/>
      <c r="B47" s="308" t="str">
        <f>'Учебный план (очная)'!B66</f>
        <v xml:space="preserve">Обеспечение безопасности плавания                                                   </v>
      </c>
      <c r="C47" s="308">
        <f>'Учебный план (очная)'!C66</f>
        <v>0</v>
      </c>
      <c r="D47" s="308">
        <f>'Учебный план (очная)'!D66</f>
        <v>0</v>
      </c>
      <c r="E47" s="308">
        <f>'Учебный план (очная)'!E66</f>
        <v>0</v>
      </c>
      <c r="F47" s="308">
        <f>'Учебный план (очная)'!F66</f>
        <v>0</v>
      </c>
      <c r="G47" s="308">
        <f>'Учебный план (очная)'!G66</f>
        <v>0</v>
      </c>
      <c r="H47" s="308">
        <f>'Учебный план (очная)'!H66</f>
        <v>0</v>
      </c>
      <c r="I47" s="285"/>
      <c r="J47" s="309"/>
      <c r="K47" s="239">
        <f>'Учебный план (очная)'!K66</f>
        <v>273</v>
      </c>
      <c r="L47" s="274">
        <f t="shared" si="28"/>
        <v>0</v>
      </c>
      <c r="M47" s="274">
        <f t="shared" si="29"/>
        <v>0</v>
      </c>
      <c r="N47" s="274">
        <f t="shared" si="30"/>
        <v>0</v>
      </c>
      <c r="O47" s="274">
        <f t="shared" si="31"/>
        <v>0</v>
      </c>
      <c r="P47" s="274">
        <f t="shared" si="32"/>
        <v>0</v>
      </c>
      <c r="Q47" s="274">
        <f t="shared" si="33"/>
        <v>0</v>
      </c>
      <c r="R47" s="274" t="e">
        <f t="shared" si="34"/>
        <v>#VALUE!</v>
      </c>
      <c r="S47" s="289" t="e">
        <f>#REF!+AI47+AQ47+AY47+BG47+BO47+BW47+CE47+CM47+CU47</f>
        <v>#REF!</v>
      </c>
      <c r="T47" s="248">
        <f>'Учебный план (заочная)'!M49</f>
        <v>273</v>
      </c>
      <c r="U47" s="249">
        <f>'Учебный план (заочная)'!D49</f>
        <v>0</v>
      </c>
      <c r="V47" s="249">
        <f>'Учебный план (заочная)'!E49</f>
        <v>0</v>
      </c>
      <c r="W47" s="249">
        <f>'Учебный план (заочная)'!F49</f>
        <v>0</v>
      </c>
      <c r="X47" s="249">
        <f>'Учебный план (заочная)'!G49</f>
        <v>0</v>
      </c>
      <c r="Y47" s="249">
        <f>'Учебный план (заочная)'!H49</f>
        <v>0</v>
      </c>
      <c r="Z47" s="249"/>
      <c r="AA47" s="293" t="str">
        <f>'Учебный план (заочная)'!B49</f>
        <v xml:space="preserve">Обеспечение безопасности плавания                                                   </v>
      </c>
    </row>
    <row r="48" spans="1:27" ht="27.75" customHeight="1" x14ac:dyDescent="0.2">
      <c r="A48" s="132"/>
      <c r="B48" s="144" t="str">
        <f>'Учебный план (очная)'!B68</f>
        <v>Безопасность жизнедеятельности на судне и транспортная безопасность</v>
      </c>
      <c r="C48" s="144">
        <f>'Учебный план (очная)'!C68</f>
        <v>0</v>
      </c>
      <c r="D48" s="144">
        <f>'Учебный план (очная)'!D68</f>
        <v>0</v>
      </c>
      <c r="E48" s="144">
        <f>'Учебный план (очная)'!E68</f>
        <v>0</v>
      </c>
      <c r="F48" s="144" t="str">
        <f>'Учебный план (очная)'!F68</f>
        <v>4,8</v>
      </c>
      <c r="G48" s="144">
        <f>'Учебный план (очная)'!G68</f>
        <v>0</v>
      </c>
      <c r="H48" s="144" t="str">
        <f>'Учебный план (очная)'!H68</f>
        <v>3</v>
      </c>
      <c r="I48" s="136"/>
      <c r="J48" s="140"/>
      <c r="K48" s="240">
        <f>'Учебный план (очная)'!K68</f>
        <v>273</v>
      </c>
      <c r="L48" s="138">
        <f t="shared" si="28"/>
        <v>3</v>
      </c>
      <c r="M48" s="138">
        <f t="shared" si="29"/>
        <v>0</v>
      </c>
      <c r="N48" s="138">
        <f t="shared" si="30"/>
        <v>0</v>
      </c>
      <c r="O48" s="138">
        <f t="shared" si="31"/>
        <v>2</v>
      </c>
      <c r="P48" s="138">
        <f t="shared" si="32"/>
        <v>0</v>
      </c>
      <c r="Q48" s="138">
        <f t="shared" si="33"/>
        <v>1</v>
      </c>
      <c r="R48" s="138" t="e">
        <f t="shared" si="34"/>
        <v>#VALUE!</v>
      </c>
      <c r="S48" s="160" t="e">
        <f>#REF!+AI48+AQ48+AY48+BG48+BO48+BW48+CE48+CM48+CU48</f>
        <v>#REF!</v>
      </c>
      <c r="T48" s="241">
        <f>'Учебный план (заочная)'!M51</f>
        <v>273</v>
      </c>
      <c r="U48" s="242">
        <f>'Учебный план (заочная)'!D51</f>
        <v>0</v>
      </c>
      <c r="V48" s="242">
        <f>'Учебный план (заочная)'!E51</f>
        <v>0</v>
      </c>
      <c r="W48" s="242">
        <f>'Учебный план (заочная)'!F51</f>
        <v>2.4</v>
      </c>
      <c r="X48" s="242">
        <f>'Учебный план (заочная)'!G51</f>
        <v>0</v>
      </c>
      <c r="Y48" s="242">
        <f>'Учебный план (заочная)'!H51</f>
        <v>1</v>
      </c>
      <c r="Z48" s="242"/>
      <c r="AA48" s="292" t="str">
        <f>'Учебный план (заочная)'!B51</f>
        <v>Безопасность жизнедеятельности на судне и транспортная безопасность</v>
      </c>
    </row>
    <row r="49" spans="1:27" x14ac:dyDescent="0.2">
      <c r="A49" s="132"/>
      <c r="B49" s="144">
        <f>'Учебный план (очная)'!B69</f>
        <v>0</v>
      </c>
      <c r="C49" s="144">
        <f>'Учебный план (очная)'!C69</f>
        <v>0</v>
      </c>
      <c r="D49" s="144" t="str">
        <f>'Учебный план (очная)'!D69</f>
        <v>8</v>
      </c>
      <c r="E49" s="144">
        <f>'Учебный план (очная)'!E69</f>
        <v>0</v>
      </c>
      <c r="F49" s="144">
        <f>'Учебный план (очная)'!F69</f>
        <v>0</v>
      </c>
      <c r="G49" s="144">
        <f>'Учебный план (очная)'!G69</f>
        <v>0</v>
      </c>
      <c r="H49" s="144">
        <f>'Учебный план (очная)'!H69</f>
        <v>0</v>
      </c>
      <c r="I49" s="136"/>
      <c r="J49" s="140"/>
      <c r="K49" s="240">
        <f>'Учебный план (очная)'!K69</f>
        <v>0</v>
      </c>
      <c r="L49" s="138">
        <f t="shared" si="28"/>
        <v>4</v>
      </c>
      <c r="M49" s="138">
        <f t="shared" si="29"/>
        <v>4</v>
      </c>
      <c r="N49" s="138">
        <f t="shared" si="30"/>
        <v>0</v>
      </c>
      <c r="O49" s="138">
        <f t="shared" si="31"/>
        <v>0</v>
      </c>
      <c r="P49" s="138">
        <f t="shared" si="32"/>
        <v>0</v>
      </c>
      <c r="Q49" s="138">
        <f t="shared" si="33"/>
        <v>0</v>
      </c>
      <c r="R49" s="138">
        <f t="shared" si="34"/>
        <v>0</v>
      </c>
      <c r="S49" s="160" t="e">
        <f>#REF!+AI49+AQ49+AY49+BG49+BO49+BW49+CE49+CM49+CU49</f>
        <v>#REF!</v>
      </c>
      <c r="T49" s="241">
        <f>'Учебный план (заочная)'!M52</f>
        <v>0</v>
      </c>
      <c r="U49" s="242" t="str">
        <f>'Учебный план (заочная)'!D52</f>
        <v>4</v>
      </c>
      <c r="V49" s="242">
        <f>'Учебный план (заочная)'!E52</f>
        <v>0</v>
      </c>
      <c r="W49" s="242">
        <f>'Учебный план (заочная)'!F52</f>
        <v>0</v>
      </c>
      <c r="X49" s="242">
        <f>'Учебный план (заочная)'!G52</f>
        <v>0</v>
      </c>
      <c r="Y49" s="242">
        <f>'Учебный план (заочная)'!H52</f>
        <v>0</v>
      </c>
      <c r="Z49" s="242"/>
      <c r="AA49" s="292">
        <f>'Учебный план (заочная)'!B52</f>
        <v>0</v>
      </c>
    </row>
    <row r="50" spans="1:27" ht="39" thickBot="1" x14ac:dyDescent="0.25">
      <c r="A50" s="132"/>
      <c r="B50" s="308" t="str">
        <f>'Учебный план (очная)'!B70</f>
        <v>Выполнение работ по одной или нескольким профессиям рабочих, должностям служащих</v>
      </c>
      <c r="C50" s="308">
        <f>'Учебный план (очная)'!C70</f>
        <v>0</v>
      </c>
      <c r="D50" s="308">
        <f>'Учебный план (очная)'!D70</f>
        <v>0</v>
      </c>
      <c r="E50" s="308">
        <f>'Учебный план (очная)'!E70</f>
        <v>0</v>
      </c>
      <c r="F50" s="308">
        <f>'Учебный план (очная)'!F70</f>
        <v>0</v>
      </c>
      <c r="G50" s="308">
        <f>'Учебный план (очная)'!G70</f>
        <v>0</v>
      </c>
      <c r="H50" s="308">
        <f>'Учебный план (очная)'!H70</f>
        <v>0</v>
      </c>
      <c r="I50" s="285"/>
      <c r="J50" s="309"/>
      <c r="K50" s="239">
        <f>'Учебный план (очная)'!K70</f>
        <v>96</v>
      </c>
      <c r="L50" s="274">
        <f t="shared" si="28"/>
        <v>0</v>
      </c>
      <c r="M50" s="274">
        <f t="shared" si="29"/>
        <v>0</v>
      </c>
      <c r="N50" s="274">
        <f t="shared" si="30"/>
        <v>0</v>
      </c>
      <c r="O50" s="274">
        <f t="shared" si="31"/>
        <v>0</v>
      </c>
      <c r="P50" s="274">
        <f t="shared" si="32"/>
        <v>0</v>
      </c>
      <c r="Q50" s="274">
        <f t="shared" si="33"/>
        <v>0</v>
      </c>
      <c r="R50" s="274" t="e">
        <f t="shared" si="34"/>
        <v>#VALUE!</v>
      </c>
      <c r="S50" s="289" t="e">
        <f>#REF!+AI50+AQ50+AY50+BG50+BO50+BW50+CE50+CM50+CU50</f>
        <v>#REF!</v>
      </c>
      <c r="T50" s="248">
        <f>'Учебный план (заочная)'!M53</f>
        <v>96</v>
      </c>
      <c r="U50" s="249">
        <f>'Учебный план (заочная)'!D53</f>
        <v>0</v>
      </c>
      <c r="V50" s="249">
        <f>'Учебный план (заочная)'!E53</f>
        <v>0</v>
      </c>
      <c r="W50" s="249">
        <f>'Учебный план (заочная)'!F53</f>
        <v>0</v>
      </c>
      <c r="X50" s="249">
        <f>'Учебный план (заочная)'!G53</f>
        <v>0</v>
      </c>
      <c r="Y50" s="249">
        <f>'Учебный план (заочная)'!H53</f>
        <v>0</v>
      </c>
      <c r="Z50" s="249"/>
      <c r="AA50" s="293" t="str">
        <f>'Учебный план (заочная)'!B53</f>
        <v>Выполнение работ по одной или нескольким профессиям рабочих, должностям служащих</v>
      </c>
    </row>
    <row r="51" spans="1:27" x14ac:dyDescent="0.2">
      <c r="A51" s="183" t="s">
        <v>374</v>
      </c>
      <c r="B51" s="144" t="str">
        <f>'Учебный план (очная)'!B71</f>
        <v>Моторист (машинист)</v>
      </c>
      <c r="C51" s="144">
        <f>'Учебный план (очная)'!C71</f>
        <v>0</v>
      </c>
      <c r="D51" s="144">
        <f>'Учебный план (очная)'!D71</f>
        <v>0</v>
      </c>
      <c r="E51" s="144" t="str">
        <f>'Учебный план (очная)'!E71</f>
        <v>5</v>
      </c>
      <c r="F51" s="144">
        <f>'Учебный план (очная)'!F71</f>
        <v>0</v>
      </c>
      <c r="G51" s="144">
        <f>'Учебный план (очная)'!G71</f>
        <v>0</v>
      </c>
      <c r="H51" s="144">
        <f>'Учебный план (очная)'!H71</f>
        <v>0</v>
      </c>
      <c r="I51" s="136"/>
      <c r="J51" s="140"/>
      <c r="K51" s="240">
        <f>'Учебный план (очная)'!K71</f>
        <v>96</v>
      </c>
      <c r="L51" s="138">
        <f t="shared" si="28"/>
        <v>2</v>
      </c>
      <c r="M51" s="138">
        <f t="shared" si="29"/>
        <v>0</v>
      </c>
      <c r="N51" s="138">
        <f t="shared" si="30"/>
        <v>2</v>
      </c>
      <c r="O51" s="138">
        <f t="shared" si="31"/>
        <v>0</v>
      </c>
      <c r="P51" s="138">
        <f t="shared" si="32"/>
        <v>0</v>
      </c>
      <c r="Q51" s="138">
        <f t="shared" si="33"/>
        <v>0</v>
      </c>
      <c r="R51" s="138" t="e">
        <f t="shared" si="34"/>
        <v>#VALUE!</v>
      </c>
      <c r="S51" s="160" t="e">
        <f>#REF!+AI51+AQ51+AY51+BG51+BO51+BW51+CE51+CM51+CU51</f>
        <v>#REF!</v>
      </c>
      <c r="T51" s="241">
        <f>'Учебный план (заочная)'!M54</f>
        <v>96</v>
      </c>
      <c r="U51" s="242">
        <f>'Учебный план (заочная)'!D54</f>
        <v>0</v>
      </c>
      <c r="V51" s="242" t="str">
        <f>'Учебный план (заочная)'!E54</f>
        <v>2</v>
      </c>
      <c r="W51" s="242">
        <f>'Учебный план (заочная)'!F54</f>
        <v>0</v>
      </c>
      <c r="X51" s="242">
        <f>'Учебный план (заочная)'!G54</f>
        <v>0</v>
      </c>
      <c r="Y51" s="242">
        <f>'Учебный план (заочная)'!H54</f>
        <v>0</v>
      </c>
      <c r="Z51" s="242"/>
      <c r="AA51" s="292" t="str">
        <f>'Учебный план (заочная)'!B54</f>
        <v>Моторист (машинист)</v>
      </c>
    </row>
    <row r="52" spans="1:27" hidden="1" x14ac:dyDescent="0.2">
      <c r="A52" s="182" t="s">
        <v>377</v>
      </c>
      <c r="B52" s="144">
        <f>'Учебный план (очная)'!B72</f>
        <v>0</v>
      </c>
      <c r="C52" s="144">
        <f>'Учебный план (очная)'!C72</f>
        <v>0</v>
      </c>
      <c r="D52" s="144">
        <f>'Учебный план (очная)'!D72</f>
        <v>0</v>
      </c>
      <c r="E52" s="144">
        <f>'Учебный план (очная)'!E72</f>
        <v>0</v>
      </c>
      <c r="F52" s="144">
        <f>'Учебный план (очная)'!F72</f>
        <v>0</v>
      </c>
      <c r="G52" s="144">
        <f>'Учебный план (очная)'!G72</f>
        <v>0</v>
      </c>
      <c r="H52" s="144">
        <f>'Учебный план (очная)'!H72</f>
        <v>0</v>
      </c>
      <c r="I52" s="136"/>
      <c r="J52" s="140"/>
      <c r="K52" s="240">
        <f>'Учебный план (очная)'!K72</f>
        <v>0</v>
      </c>
      <c r="L52" s="138">
        <f t="shared" si="28"/>
        <v>0</v>
      </c>
      <c r="M52" s="138">
        <f t="shared" si="29"/>
        <v>0</v>
      </c>
      <c r="N52" s="138">
        <f t="shared" si="30"/>
        <v>0</v>
      </c>
      <c r="O52" s="138">
        <f t="shared" si="31"/>
        <v>0</v>
      </c>
      <c r="P52" s="138">
        <f t="shared" si="32"/>
        <v>0</v>
      </c>
      <c r="Q52" s="138">
        <f t="shared" si="33"/>
        <v>0</v>
      </c>
      <c r="R52" s="138">
        <f t="shared" si="34"/>
        <v>0</v>
      </c>
      <c r="S52" s="160" t="e">
        <f>#REF!+AI52+AQ52+AY52+BG52+BO52+BW52+CE52+CM52+CU52</f>
        <v>#REF!</v>
      </c>
      <c r="T52" s="241">
        <f>'Учебный план (заочная)'!M55</f>
        <v>0</v>
      </c>
      <c r="U52" s="242">
        <f>'Учебный план (заочная)'!D55</f>
        <v>0</v>
      </c>
      <c r="V52" s="242">
        <f>'Учебный план (заочная)'!E55</f>
        <v>0</v>
      </c>
      <c r="W52" s="242">
        <f>'Учебный план (заочная)'!F55</f>
        <v>0</v>
      </c>
      <c r="X52" s="242">
        <f>'Учебный план (заочная)'!G55</f>
        <v>0</v>
      </c>
      <c r="Y52" s="242">
        <f>'Учебный план (заочная)'!H55</f>
        <v>0</v>
      </c>
      <c r="Z52" s="242"/>
      <c r="AA52" s="292">
        <f>'Учебный план (заочная)'!B55</f>
        <v>0</v>
      </c>
    </row>
    <row r="53" spans="1:27" hidden="1" x14ac:dyDescent="0.2">
      <c r="A53" s="182" t="s">
        <v>378</v>
      </c>
      <c r="B53" s="144">
        <f>'Учебный план (очная)'!B73</f>
        <v>0</v>
      </c>
      <c r="C53" s="144">
        <f>'Учебный план (очная)'!C73</f>
        <v>0</v>
      </c>
      <c r="D53" s="144">
        <f>'Учебный план (очная)'!D73</f>
        <v>0</v>
      </c>
      <c r="E53" s="144">
        <f>'Учебный план (очная)'!E73</f>
        <v>0</v>
      </c>
      <c r="F53" s="144">
        <f>'Учебный план (очная)'!F73</f>
        <v>0</v>
      </c>
      <c r="G53" s="144">
        <f>'Учебный план (очная)'!G73</f>
        <v>0</v>
      </c>
      <c r="H53" s="144">
        <f>'Учебный план (очная)'!H73</f>
        <v>0</v>
      </c>
      <c r="I53" s="136"/>
      <c r="J53" s="140"/>
      <c r="K53" s="240">
        <f>'Учебный план (очная)'!K73</f>
        <v>0</v>
      </c>
      <c r="L53" s="138">
        <f t="shared" si="28"/>
        <v>0</v>
      </c>
      <c r="M53" s="138">
        <f t="shared" si="29"/>
        <v>0</v>
      </c>
      <c r="N53" s="138">
        <f t="shared" si="30"/>
        <v>0</v>
      </c>
      <c r="O53" s="138">
        <f t="shared" si="31"/>
        <v>0</v>
      </c>
      <c r="P53" s="138">
        <f t="shared" si="32"/>
        <v>0</v>
      </c>
      <c r="Q53" s="138">
        <f t="shared" si="33"/>
        <v>0</v>
      </c>
      <c r="R53" s="138">
        <f t="shared" si="34"/>
        <v>0</v>
      </c>
      <c r="S53" s="160" t="e">
        <f>#REF!+AI53+AQ53+AY53+BG53+BO53+BW53+CE53+CM53+CU53</f>
        <v>#REF!</v>
      </c>
      <c r="T53" s="241">
        <f>'Учебный план (заочная)'!M56</f>
        <v>0</v>
      </c>
      <c r="U53" s="242">
        <f>'Учебный план (заочная)'!D56</f>
        <v>0</v>
      </c>
      <c r="V53" s="242">
        <f>'Учебный план (заочная)'!E56</f>
        <v>0</v>
      </c>
      <c r="W53" s="242">
        <f>'Учебный план (заочная)'!F56</f>
        <v>0</v>
      </c>
      <c r="X53" s="242">
        <f>'Учебный план (заочная)'!G56</f>
        <v>0</v>
      </c>
      <c r="Y53" s="242">
        <f>'Учебный план (заочная)'!H56</f>
        <v>0</v>
      </c>
      <c r="Z53" s="242"/>
      <c r="AA53" s="292">
        <f>'Учебный план (заочная)'!B56</f>
        <v>0</v>
      </c>
    </row>
    <row r="54" spans="1:27" hidden="1" x14ac:dyDescent="0.2">
      <c r="A54" s="182" t="s">
        <v>379</v>
      </c>
      <c r="B54" s="144">
        <f>'Учебный план (очная)'!B74</f>
        <v>0</v>
      </c>
      <c r="C54" s="144">
        <f>'Учебный план (очная)'!C74</f>
        <v>0</v>
      </c>
      <c r="D54" s="144">
        <f>'Учебный план (очная)'!D74</f>
        <v>0</v>
      </c>
      <c r="E54" s="144">
        <f>'Учебный план (очная)'!E74</f>
        <v>0</v>
      </c>
      <c r="F54" s="144">
        <f>'Учебный план (очная)'!F74</f>
        <v>0</v>
      </c>
      <c r="G54" s="144">
        <f>'Учебный план (очная)'!G74</f>
        <v>0</v>
      </c>
      <c r="H54" s="144">
        <f>'Учебный план (очная)'!H74</f>
        <v>0</v>
      </c>
      <c r="I54" s="136"/>
      <c r="J54" s="140"/>
      <c r="K54" s="240">
        <f>'Учебный план (очная)'!K74</f>
        <v>0</v>
      </c>
      <c r="L54" s="138">
        <f t="shared" si="28"/>
        <v>3</v>
      </c>
      <c r="M54" s="138">
        <f t="shared" si="29"/>
        <v>3</v>
      </c>
      <c r="N54" s="138">
        <f t="shared" si="30"/>
        <v>0</v>
      </c>
      <c r="O54" s="138">
        <f t="shared" si="31"/>
        <v>0</v>
      </c>
      <c r="P54" s="138">
        <f t="shared" si="32"/>
        <v>0</v>
      </c>
      <c r="Q54" s="138">
        <f t="shared" si="33"/>
        <v>0</v>
      </c>
      <c r="R54" s="138">
        <f t="shared" si="34"/>
        <v>0</v>
      </c>
      <c r="S54" s="160" t="e">
        <f>#REF!+AI54+AQ54+AY54+BG54+BO54+BW54+CE54+CM54+CU54</f>
        <v>#REF!</v>
      </c>
      <c r="T54" s="241">
        <f>'Учебный план (заочная)'!M57</f>
        <v>0</v>
      </c>
      <c r="U54" s="242" t="str">
        <f>'Учебный план (заочная)'!D57</f>
        <v>3</v>
      </c>
      <c r="V54" s="242">
        <f>'Учебный план (заочная)'!E57</f>
        <v>0</v>
      </c>
      <c r="W54" s="242">
        <f>'Учебный план (заочная)'!F57</f>
        <v>0</v>
      </c>
      <c r="X54" s="242">
        <f>'Учебный план (заочная)'!G57</f>
        <v>0</v>
      </c>
      <c r="Y54" s="242">
        <f>'Учебный план (заочная)'!H57</f>
        <v>0</v>
      </c>
      <c r="Z54" s="242"/>
      <c r="AA54" s="292">
        <f>'Учебный план (заочная)'!B57</f>
        <v>0</v>
      </c>
    </row>
    <row r="55" spans="1:27" hidden="1" x14ac:dyDescent="0.2">
      <c r="A55" s="182" t="s">
        <v>375</v>
      </c>
      <c r="B55" s="144">
        <f>'Учебный план (очная)'!B75</f>
        <v>0</v>
      </c>
      <c r="C55" s="144">
        <f>'Учебный план (очная)'!C75</f>
        <v>0</v>
      </c>
      <c r="D55" s="144" t="str">
        <f>'Учебный план (очная)'!D75</f>
        <v>5</v>
      </c>
      <c r="E55" s="144">
        <f>'Учебный план (очная)'!E75</f>
        <v>0</v>
      </c>
      <c r="F55" s="144">
        <f>'Учебный план (очная)'!F75</f>
        <v>0</v>
      </c>
      <c r="G55" s="144">
        <f>'Учебный план (очная)'!G75</f>
        <v>0</v>
      </c>
      <c r="H55" s="144">
        <f>'Учебный план (очная)'!H75</f>
        <v>0</v>
      </c>
      <c r="I55" s="136"/>
      <c r="J55" s="140"/>
      <c r="K55" s="240">
        <f>'Учебный план (очная)'!K75</f>
        <v>0</v>
      </c>
      <c r="L55" s="138" t="e">
        <f t="shared" si="28"/>
        <v>#VALUE!</v>
      </c>
      <c r="M55" s="138" t="e">
        <f t="shared" si="29"/>
        <v>#VALUE!</v>
      </c>
      <c r="N55" s="138">
        <f t="shared" si="30"/>
        <v>0</v>
      </c>
      <c r="O55" s="138">
        <f t="shared" si="31"/>
        <v>0</v>
      </c>
      <c r="P55" s="138">
        <f t="shared" si="32"/>
        <v>0</v>
      </c>
      <c r="Q55" s="138">
        <f t="shared" si="33"/>
        <v>0</v>
      </c>
      <c r="R55" s="138" t="e">
        <f>AA56+AH55+AP55+AX55+BF55+BN55+BV55+CD55+CL55+CT55</f>
        <v>#VALUE!</v>
      </c>
      <c r="S55" s="160" t="e">
        <f>#REF!+AI55+AQ55+AY55+BG55+BO55+BW55+CE55+CM55+CU55</f>
        <v>#REF!</v>
      </c>
      <c r="U55" s="242" t="str">
        <f>'Учебный план (заочная)'!D58</f>
        <v xml:space="preserve"> </v>
      </c>
      <c r="V55" s="242">
        <f>'Учебный план (заочная)'!E58</f>
        <v>0</v>
      </c>
      <c r="W55" s="242">
        <f>'Учебный план (заочная)'!F58</f>
        <v>0</v>
      </c>
      <c r="X55" s="242">
        <f>'Учебный план (заочная)'!G58</f>
        <v>0</v>
      </c>
      <c r="Y55" s="242">
        <f>'Учебный план (заочная)'!H58</f>
        <v>0</v>
      </c>
      <c r="Z55" s="442"/>
    </row>
    <row r="56" spans="1:27" x14ac:dyDescent="0.2">
      <c r="A56" s="182" t="s">
        <v>376</v>
      </c>
      <c r="B56" s="308" t="str">
        <f>'Учебный план (очная)'!B76</f>
        <v>Вариативная часть циклов ППССЗ</v>
      </c>
      <c r="C56" s="308">
        <f>'Учебный план (очная)'!C76</f>
        <v>0</v>
      </c>
      <c r="D56" s="308" t="str">
        <f>'Учебный план (очная)'!D76</f>
        <v xml:space="preserve"> </v>
      </c>
      <c r="E56" s="308">
        <f>'Учебный план (очная)'!E76</f>
        <v>0</v>
      </c>
      <c r="F56" s="308">
        <f>'Учебный план (очная)'!F76</f>
        <v>0</v>
      </c>
      <c r="G56" s="308">
        <f>'Учебный план (очная)'!G76</f>
        <v>0</v>
      </c>
      <c r="H56" s="308">
        <f>'Учебный план (очная)'!H76</f>
        <v>0</v>
      </c>
      <c r="I56" s="285"/>
      <c r="J56" s="309"/>
      <c r="K56" s="239">
        <f>'Учебный план (очная)'!K76</f>
        <v>518</v>
      </c>
      <c r="L56" s="274">
        <f t="shared" si="28"/>
        <v>4</v>
      </c>
      <c r="M56" s="274">
        <f t="shared" si="29"/>
        <v>0</v>
      </c>
      <c r="N56" s="274">
        <f t="shared" si="30"/>
        <v>0</v>
      </c>
      <c r="O56" s="274">
        <f t="shared" si="31"/>
        <v>0</v>
      </c>
      <c r="P56" s="274">
        <f t="shared" si="32"/>
        <v>0</v>
      </c>
      <c r="Q56" s="274">
        <f t="shared" si="33"/>
        <v>4</v>
      </c>
      <c r="R56" s="274" t="e">
        <f>#REF!+AH56+AP56+AX56+BF56+BN56+BV56+CD56+CL56+CT56</f>
        <v>#REF!</v>
      </c>
      <c r="S56" s="289" t="e">
        <f>#REF!+AI56+AQ56+AY56+BG56+BO56+BW56+CE56+CM56+CU56</f>
        <v>#REF!</v>
      </c>
      <c r="T56" s="248">
        <f>'Учебный план (заочная)'!M58</f>
        <v>518</v>
      </c>
      <c r="U56" s="249">
        <f>'Учебный план (заочная)'!D59</f>
        <v>0</v>
      </c>
      <c r="V56" s="423">
        <f>'Учебный план (заочная)'!E58</f>
        <v>0</v>
      </c>
      <c r="W56" s="249">
        <f>'Учебный план (заочная)'!F59</f>
        <v>0</v>
      </c>
      <c r="X56" s="249">
        <f>'Учебный план (заочная)'!G59</f>
        <v>0</v>
      </c>
      <c r="Y56" s="249" t="str">
        <f>'Учебный план (заочная)'!H59</f>
        <v>4</v>
      </c>
      <c r="Z56" s="249"/>
      <c r="AA56" s="293" t="str">
        <f>'Учебный план (заочная)'!B58</f>
        <v>Вариативная часть циклов ППССЗ</v>
      </c>
    </row>
    <row r="57" spans="1:27" x14ac:dyDescent="0.2">
      <c r="A57" s="182"/>
      <c r="B57" s="144" t="str">
        <f>'Учебный план (очная)'!B77</f>
        <v>Деловой английский язык</v>
      </c>
      <c r="C57" s="144">
        <f>'Учебный план (очная)'!C77</f>
        <v>0</v>
      </c>
      <c r="D57" s="144">
        <f>'Учебный план (очная)'!D77</f>
        <v>0</v>
      </c>
      <c r="E57" s="144" t="str">
        <f>'Учебный план (очная)'!E77</f>
        <v>8</v>
      </c>
      <c r="F57" s="144">
        <f>'Учебный план (очная)'!F77</f>
        <v>0</v>
      </c>
      <c r="G57" s="144">
        <f>'Учебный план (очная)'!G77</f>
        <v>0</v>
      </c>
      <c r="H57" s="144">
        <f>'Учебный план (очная)'!H77</f>
        <v>0</v>
      </c>
      <c r="I57" s="136"/>
      <c r="J57" s="140"/>
      <c r="K57" s="240">
        <f>'Учебный план (очная)'!K77</f>
        <v>56</v>
      </c>
      <c r="L57" s="138">
        <f t="shared" si="28"/>
        <v>8</v>
      </c>
      <c r="M57" s="138">
        <f t="shared" si="29"/>
        <v>0</v>
      </c>
      <c r="N57" s="138">
        <f t="shared" si="30"/>
        <v>4</v>
      </c>
      <c r="O57" s="138">
        <f t="shared" si="31"/>
        <v>0</v>
      </c>
      <c r="P57" s="138">
        <f t="shared" si="32"/>
        <v>0</v>
      </c>
      <c r="Q57" s="138">
        <f t="shared" si="33"/>
        <v>4</v>
      </c>
      <c r="R57" s="138" t="e">
        <f>AA57+AH57+AP57+AX57+BF57+BN57+BV57+CD57+CL57+CT57</f>
        <v>#VALUE!</v>
      </c>
      <c r="S57" s="160" t="e">
        <f>#REF!+AI57+AQ57+AY57+BG57+BO57+BW57+CE57+CM57+CU57</f>
        <v>#REF!</v>
      </c>
      <c r="T57" s="241">
        <f>'Учебный план (заочная)'!M59</f>
        <v>56</v>
      </c>
      <c r="U57" s="422">
        <f>'Учебный план (заочная)'!D59</f>
        <v>0</v>
      </c>
      <c r="V57" s="422" t="str">
        <f>'Учебный план (заочная)'!E59</f>
        <v>4</v>
      </c>
      <c r="W57" s="422">
        <f>'Учебный план (заочная)'!F59</f>
        <v>0</v>
      </c>
      <c r="X57" s="422">
        <f>'Учебный план (заочная)'!G59</f>
        <v>0</v>
      </c>
      <c r="Y57" s="422" t="str">
        <f>'Учебный план (заочная)'!H59</f>
        <v>4</v>
      </c>
      <c r="Z57" s="422"/>
      <c r="AA57" s="292" t="str">
        <f>'Учебный план (заочная)'!B59</f>
        <v>Деловой английский язык</v>
      </c>
    </row>
    <row r="58" spans="1:27" ht="25.5" x14ac:dyDescent="0.2">
      <c r="A58" s="182"/>
      <c r="B58" s="144" t="str">
        <f>'Учебный план (очная)'!B78</f>
        <v>Теоретические основы электротехники</v>
      </c>
      <c r="C58" s="144">
        <f>'Учебный план (очная)'!C78</f>
        <v>0</v>
      </c>
      <c r="D58" s="144" t="str">
        <f>'Учебный план (очная)'!D78</f>
        <v>3</v>
      </c>
      <c r="E58" s="144">
        <f>'Учебный план (очная)'!E78</f>
        <v>0</v>
      </c>
      <c r="F58" s="144">
        <f>'Учебный план (очная)'!F78</f>
        <v>0</v>
      </c>
      <c r="G58" s="144">
        <f>'Учебный план (очная)'!G78</f>
        <v>0</v>
      </c>
      <c r="H58" s="144">
        <f>'Учебный план (очная)'!H78</f>
        <v>0</v>
      </c>
      <c r="I58" s="136"/>
      <c r="J58" s="140"/>
      <c r="K58" s="240">
        <f>'Учебный план (очная)'!K78</f>
        <v>108</v>
      </c>
      <c r="L58" s="138">
        <f t="shared" ref="L58:L62" si="35">SUM(M58:Q58)</f>
        <v>1</v>
      </c>
      <c r="M58" s="138">
        <f t="shared" ref="M58:M62" si="36">U58+AC58+AK58+AS58+BA58+BI58+BQ58+BY58+CG58+CO58</f>
        <v>1</v>
      </c>
      <c r="N58" s="138">
        <f t="shared" ref="N58:N62" si="37">V58+AD58+AL58+AT58+BB58+BJ58+BR58+BZ58+CH58+CP58</f>
        <v>0</v>
      </c>
      <c r="O58" s="138">
        <f t="shared" ref="O58:O62" si="38">W58+AE58+AM58+AU58+BC58+BK58+BS58+CA58+CI58+CQ58</f>
        <v>0</v>
      </c>
      <c r="P58" s="138">
        <f t="shared" ref="P58:P62" si="39">X58+AF58+AN58+AV58+BD58+BL58+BT58+CB58+CJ58+CR58</f>
        <v>0</v>
      </c>
      <c r="Q58" s="138">
        <f t="shared" ref="Q58:Q62" si="40">Y58+AG58+AO58+AW58+BE58+BM58+BU58+CC58+CK58+CS58</f>
        <v>0</v>
      </c>
      <c r="R58" s="138" t="e">
        <f t="shared" ref="R58:R62" si="41">AA58+AH58+AP58+AX58+BF58+BN58+BV58+CD58+CL58+CT58</f>
        <v>#VALUE!</v>
      </c>
      <c r="S58" s="160" t="e">
        <f>#REF!+AI58+AQ58+AY58+BG58+BO58+BW58+CE58+CM58+CU58</f>
        <v>#REF!</v>
      </c>
      <c r="T58" s="241">
        <f>'Учебный план (заочная)'!M60</f>
        <v>108</v>
      </c>
      <c r="U58" s="422" t="str">
        <f>'Учебный план (заочная)'!D60</f>
        <v>1</v>
      </c>
      <c r="V58" s="422">
        <f>'Учебный план (заочная)'!E60</f>
        <v>0</v>
      </c>
      <c r="W58" s="422">
        <f>'Учебный план (заочная)'!F60</f>
        <v>0</v>
      </c>
      <c r="X58" s="422">
        <f>'Учебный план (заочная)'!G60</f>
        <v>0</v>
      </c>
      <c r="Y58" s="422">
        <f>'Учебный план (заочная)'!H60</f>
        <v>0</v>
      </c>
      <c r="Z58" s="422"/>
      <c r="AA58" s="292" t="str">
        <f>'Учебный план (заочная)'!B60</f>
        <v>Теоретические основы электротехники</v>
      </c>
    </row>
    <row r="59" spans="1:27" ht="25.5" x14ac:dyDescent="0.2">
      <c r="A59" s="182"/>
      <c r="B59" s="144" t="str">
        <f>'Учебный план (очная)'!B79</f>
        <v>Электрооборудование объектов водного транспорта</v>
      </c>
      <c r="C59" s="144">
        <f>'Учебный план (очная)'!C79</f>
        <v>0</v>
      </c>
      <c r="D59" s="144">
        <f>'Учебный план (очная)'!D79</f>
        <v>0</v>
      </c>
      <c r="E59" s="144" t="str">
        <f>'Учебный план (очная)'!E79</f>
        <v>8</v>
      </c>
      <c r="F59" s="144">
        <f>'Учебный план (очная)'!F79</f>
        <v>0</v>
      </c>
      <c r="G59" s="144">
        <f>'Учебный план (очная)'!G79</f>
        <v>0</v>
      </c>
      <c r="H59" s="144">
        <f>'Учебный план (очная)'!H79</f>
        <v>0</v>
      </c>
      <c r="I59" s="136"/>
      <c r="J59" s="140"/>
      <c r="K59" s="240">
        <f>'Учебный план (очная)'!K79</f>
        <v>55</v>
      </c>
      <c r="L59" s="138">
        <f t="shared" si="35"/>
        <v>8</v>
      </c>
      <c r="M59" s="138">
        <f t="shared" si="36"/>
        <v>0</v>
      </c>
      <c r="N59" s="138">
        <f t="shared" si="37"/>
        <v>4</v>
      </c>
      <c r="O59" s="138">
        <f t="shared" si="38"/>
        <v>0</v>
      </c>
      <c r="P59" s="138">
        <f t="shared" si="39"/>
        <v>0</v>
      </c>
      <c r="Q59" s="138">
        <f t="shared" si="40"/>
        <v>4</v>
      </c>
      <c r="R59" s="138" t="e">
        <f t="shared" si="41"/>
        <v>#VALUE!</v>
      </c>
      <c r="S59" s="160" t="e">
        <f>#REF!+AI59+AQ59+AY59+BG59+BO59+BW59+CE59+CM59+CU59</f>
        <v>#REF!</v>
      </c>
      <c r="T59" s="241">
        <f>'Учебный план (заочная)'!M61</f>
        <v>55</v>
      </c>
      <c r="U59" s="422">
        <f>'Учебный план (заочная)'!D61</f>
        <v>0</v>
      </c>
      <c r="V59" s="422" t="str">
        <f>'Учебный план (заочная)'!E61</f>
        <v>4</v>
      </c>
      <c r="W59" s="422">
        <f>'Учебный план (заочная)'!F61</f>
        <v>0</v>
      </c>
      <c r="X59" s="422">
        <f>'Учебный план (заочная)'!G61</f>
        <v>0</v>
      </c>
      <c r="Y59" s="422" t="str">
        <f>'Учебный план (заочная)'!H61</f>
        <v>4</v>
      </c>
      <c r="Z59" s="422"/>
      <c r="AA59" s="292" t="str">
        <f>'Учебный план (заочная)'!B61</f>
        <v>Электрооборудование объектов водного транспорта</v>
      </c>
    </row>
    <row r="60" spans="1:27" x14ac:dyDescent="0.2">
      <c r="A60" s="182"/>
      <c r="B60" s="144" t="str">
        <f>'Учебный план (очная)'!B80</f>
        <v>Системы судовой связи и навигации</v>
      </c>
      <c r="C60" s="144">
        <f>'Учебный план (очная)'!C80</f>
        <v>0</v>
      </c>
      <c r="D60" s="144">
        <f>'Учебный план (очная)'!D80</f>
        <v>0</v>
      </c>
      <c r="E60" s="144" t="str">
        <f>'Учебный план (очная)'!E80</f>
        <v>6</v>
      </c>
      <c r="F60" s="144">
        <f>'Учебный план (очная)'!F80</f>
        <v>0</v>
      </c>
      <c r="G60" s="144">
        <f>'Учебный план (очная)'!G80</f>
        <v>0</v>
      </c>
      <c r="H60" s="144" t="str">
        <f>'Учебный план (очная)'!H80</f>
        <v>4,5</v>
      </c>
      <c r="I60" s="136"/>
      <c r="J60" s="140"/>
      <c r="K60" s="240">
        <f>'Учебный план (очная)'!K80</f>
        <v>142</v>
      </c>
      <c r="L60" s="138">
        <f t="shared" si="35"/>
        <v>8</v>
      </c>
      <c r="M60" s="138">
        <f t="shared" si="36"/>
        <v>0</v>
      </c>
      <c r="N60" s="138">
        <f t="shared" si="37"/>
        <v>4</v>
      </c>
      <c r="O60" s="138">
        <f t="shared" si="38"/>
        <v>0</v>
      </c>
      <c r="P60" s="138">
        <f t="shared" si="39"/>
        <v>0</v>
      </c>
      <c r="Q60" s="138">
        <f t="shared" si="40"/>
        <v>4</v>
      </c>
      <c r="R60" s="138" t="e">
        <f t="shared" si="41"/>
        <v>#VALUE!</v>
      </c>
      <c r="S60" s="160" t="e">
        <f>#REF!+AI60+AQ60+AY60+BG60+BO60+BW60+CE60+CM60+CU60</f>
        <v>#REF!</v>
      </c>
      <c r="T60" s="241">
        <f>'Учебный план (заочная)'!M62</f>
        <v>142</v>
      </c>
      <c r="U60" s="422">
        <f>'Учебный план (заочная)'!D62</f>
        <v>0</v>
      </c>
      <c r="V60" s="422" t="str">
        <f>'Учебный план (заочная)'!E62</f>
        <v>4</v>
      </c>
      <c r="W60" s="422">
        <f>'Учебный план (заочная)'!F62</f>
        <v>0</v>
      </c>
      <c r="X60" s="422">
        <f>'Учебный план (заочная)'!G62</f>
        <v>0</v>
      </c>
      <c r="Y60" s="422" t="str">
        <f>'Учебный план (заочная)'!H62</f>
        <v>4</v>
      </c>
      <c r="Z60" s="422"/>
      <c r="AA60" s="292" t="str">
        <f>'Учебный план (заочная)'!B62</f>
        <v>Системы судовой связи и навигации</v>
      </c>
    </row>
    <row r="61" spans="1:27" ht="25.5" x14ac:dyDescent="0.2">
      <c r="A61" s="182"/>
      <c r="B61" s="144" t="str">
        <f>'Учебный план (очная)'!B81</f>
        <v>Эксплуатация судна на вспомогательном уровне</v>
      </c>
      <c r="C61" s="144">
        <f>'Учебный план (очная)'!C81</f>
        <v>0</v>
      </c>
      <c r="D61" s="144">
        <f>'Учебный план (очная)'!D81</f>
        <v>0</v>
      </c>
      <c r="E61" s="144" t="str">
        <f>'Учебный план (очная)'!E81</f>
        <v>5</v>
      </c>
      <c r="F61" s="144">
        <f>'Учебный план (очная)'!F81</f>
        <v>0</v>
      </c>
      <c r="G61" s="144">
        <f>'Учебный план (очная)'!G81</f>
        <v>0</v>
      </c>
      <c r="H61" s="144" t="str">
        <f>'Учебный план (очная)'!H81</f>
        <v>4</v>
      </c>
      <c r="I61" s="136"/>
      <c r="J61" s="140"/>
      <c r="K61" s="240">
        <f>'Учебный план (очная)'!K81</f>
        <v>102</v>
      </c>
      <c r="L61" s="138">
        <f t="shared" si="35"/>
        <v>4</v>
      </c>
      <c r="M61" s="138">
        <f t="shared" si="36"/>
        <v>0</v>
      </c>
      <c r="N61" s="138">
        <f t="shared" si="37"/>
        <v>2</v>
      </c>
      <c r="O61" s="138">
        <f t="shared" si="38"/>
        <v>0</v>
      </c>
      <c r="P61" s="138">
        <f t="shared" si="39"/>
        <v>0</v>
      </c>
      <c r="Q61" s="138">
        <f t="shared" si="40"/>
        <v>2</v>
      </c>
      <c r="R61" s="138" t="e">
        <f t="shared" si="41"/>
        <v>#VALUE!</v>
      </c>
      <c r="S61" s="160" t="e">
        <f>#REF!+AI61+AQ61+AY61+BG61+BO61+BW61+CE61+CM61+CU61</f>
        <v>#REF!</v>
      </c>
      <c r="T61" s="241">
        <f>'Учебный план (заочная)'!M63</f>
        <v>102</v>
      </c>
      <c r="U61" s="422">
        <f>'Учебный план (заочная)'!D63</f>
        <v>0</v>
      </c>
      <c r="V61" s="422" t="str">
        <f>'Учебный план (заочная)'!E63</f>
        <v>2</v>
      </c>
      <c r="W61" s="422">
        <f>'Учебный план (заочная)'!F63</f>
        <v>0</v>
      </c>
      <c r="X61" s="422">
        <f>'Учебный план (заочная)'!G63</f>
        <v>0</v>
      </c>
      <c r="Y61" s="422" t="str">
        <f>'Учебный план (заочная)'!H63</f>
        <v>2</v>
      </c>
      <c r="Z61" s="422"/>
      <c r="AA61" s="292" t="str">
        <f>'Учебный план (заочная)'!B63</f>
        <v>Эксплуатация судна на вспомогательном уровне</v>
      </c>
    </row>
    <row r="62" spans="1:27" x14ac:dyDescent="0.2">
      <c r="A62" s="182"/>
      <c r="B62" s="144" t="str">
        <f>'Учебный план (очная)'!B82</f>
        <v>Охрана труда</v>
      </c>
      <c r="C62" s="144">
        <f>'Учебный план (очная)'!C82</f>
        <v>0</v>
      </c>
      <c r="D62" s="144">
        <f>'Учебный план (очная)'!D82</f>
        <v>0</v>
      </c>
      <c r="E62" s="144" t="str">
        <f>'Учебный план (очная)'!E82</f>
        <v>8</v>
      </c>
      <c r="F62" s="144">
        <f>'Учебный план (очная)'!F82</f>
        <v>0</v>
      </c>
      <c r="G62" s="144">
        <f>'Учебный план (очная)'!G82</f>
        <v>0</v>
      </c>
      <c r="H62" s="144">
        <f>'Учебный план (очная)'!H82</f>
        <v>0</v>
      </c>
      <c r="I62" s="136"/>
      <c r="J62" s="140"/>
      <c r="K62" s="240">
        <f>'Учебный план (очная)'!K82</f>
        <v>55</v>
      </c>
      <c r="L62" s="138">
        <f t="shared" si="35"/>
        <v>4</v>
      </c>
      <c r="M62" s="138">
        <f t="shared" si="36"/>
        <v>0</v>
      </c>
      <c r="N62" s="138">
        <f t="shared" si="37"/>
        <v>2</v>
      </c>
      <c r="O62" s="138">
        <f t="shared" si="38"/>
        <v>0</v>
      </c>
      <c r="P62" s="138">
        <f t="shared" si="39"/>
        <v>0</v>
      </c>
      <c r="Q62" s="138">
        <f t="shared" si="40"/>
        <v>2</v>
      </c>
      <c r="R62" s="138" t="e">
        <f t="shared" si="41"/>
        <v>#VALUE!</v>
      </c>
      <c r="S62" s="160" t="e">
        <f>#REF!+AI62+AQ62+AY62+BG62+BO62+BW62+CE62+CM62+CU62</f>
        <v>#REF!</v>
      </c>
      <c r="T62" s="241">
        <f>'Учебный план (заочная)'!M64</f>
        <v>55</v>
      </c>
      <c r="U62" s="422">
        <f>'Учебный план (заочная)'!D64</f>
        <v>0</v>
      </c>
      <c r="V62" s="422" t="str">
        <f>'Учебный план (заочная)'!E64</f>
        <v>2</v>
      </c>
      <c r="W62" s="422">
        <f>'Учебный план (заочная)'!F64</f>
        <v>0</v>
      </c>
      <c r="X62" s="422">
        <f>'Учебный план (заочная)'!G64</f>
        <v>0</v>
      </c>
      <c r="Y62" s="422" t="str">
        <f>'Учебный план (заочная)'!H64</f>
        <v>2</v>
      </c>
      <c r="Z62" s="422"/>
      <c r="AA62" s="292" t="str">
        <f>'Учебный план (заочная)'!B64</f>
        <v>Охрана труда</v>
      </c>
    </row>
    <row r="63" spans="1:27" x14ac:dyDescent="0.2">
      <c r="B63" s="308" t="str">
        <f>'Учебный план (очная)'!B83</f>
        <v>Учебная практика</v>
      </c>
      <c r="C63" s="308">
        <f>'Учебный план (очная)'!C83</f>
        <v>0</v>
      </c>
      <c r="D63" s="308">
        <f>'Учебный план (очная)'!D83</f>
        <v>0</v>
      </c>
      <c r="E63" s="308" t="str">
        <f>'Учебный план (очная)'!E83</f>
        <v>5</v>
      </c>
      <c r="F63" s="308">
        <f>'Учебный план (очная)'!F83</f>
        <v>0</v>
      </c>
      <c r="G63" s="308">
        <f>'Учебный план (очная)'!G83</f>
        <v>0</v>
      </c>
      <c r="H63" s="308">
        <f>'Учебный план (очная)'!H83</f>
        <v>0</v>
      </c>
      <c r="I63" s="285"/>
      <c r="J63" s="309"/>
      <c r="K63" s="239">
        <f>'Учебный план (очная)'!K83</f>
        <v>576</v>
      </c>
      <c r="L63" s="274">
        <f t="shared" si="28"/>
        <v>2</v>
      </c>
      <c r="M63" s="274">
        <f t="shared" ref="M63:M84" si="42">U63+AC63+AK63+AS63+BA63+BI63+BQ63+BY63+CG63+CO63</f>
        <v>0</v>
      </c>
      <c r="N63" s="274">
        <f t="shared" ref="N63:N84" si="43">V63+AD63+AL63+AT63+BB63+BJ63+BR63+BZ63+CH63+CP63</f>
        <v>2</v>
      </c>
      <c r="O63" s="274">
        <f t="shared" ref="O63:O84" si="44">W63+AE63+AM63+AU63+BC63+BK63+BS63+CA63+CI63+CQ63</f>
        <v>0</v>
      </c>
      <c r="P63" s="274">
        <f t="shared" ref="P63:P84" si="45">X63+AF63+AN63+AV63+BD63+BL63+BT63+CB63+CJ63+CR63</f>
        <v>0</v>
      </c>
      <c r="Q63" s="274">
        <f t="shared" ref="Q63:Q84" si="46">Y63+AG63+AO63+AW63+BE63+BM63+BU63+CC63+CK63+CS63</f>
        <v>0</v>
      </c>
      <c r="R63" s="274" t="e">
        <f t="shared" ref="R63:R84" si="47">AA63+AH63+AP63+AX63+BF63+BN63+BV63+CD63+CL63+CT63</f>
        <v>#VALUE!</v>
      </c>
      <c r="S63" s="289" t="e">
        <f>#REF!+AI63+AQ63+AY63+BG63+BO63+BW63+CE63+CM63+CU63</f>
        <v>#REF!</v>
      </c>
      <c r="T63" s="248">
        <f>'Учебный план (заочная)'!M65</f>
        <v>576</v>
      </c>
      <c r="U63" s="249">
        <f>'Учебный план (заочная)'!D65</f>
        <v>0</v>
      </c>
      <c r="V63" s="249" t="str">
        <f>'Учебный план (заочная)'!E65</f>
        <v>2</v>
      </c>
      <c r="W63" s="249">
        <f>'Учебный план (заочная)'!F65</f>
        <v>0</v>
      </c>
      <c r="X63" s="249">
        <f>'Учебный план (заочная)'!G65</f>
        <v>0</v>
      </c>
      <c r="Y63" s="249">
        <f>'Учебный план (заочная)'!H65</f>
        <v>0</v>
      </c>
      <c r="Z63" s="249">
        <f>'Учебный план (заочная)'!I65</f>
        <v>0</v>
      </c>
      <c r="AA63" s="293" t="str">
        <f>'Учебный план (заочная)'!B65</f>
        <v>Учебная практика</v>
      </c>
    </row>
    <row r="64" spans="1:27" x14ac:dyDescent="0.2">
      <c r="B64" s="144" t="str">
        <f>'Учебный план (очная)'!B84</f>
        <v>Электромонтажная</v>
      </c>
      <c r="C64" s="144">
        <f>'Учебный план (очная)'!C84</f>
        <v>0</v>
      </c>
      <c r="D64" s="144">
        <f>'Учебный план (очная)'!D84</f>
        <v>0</v>
      </c>
      <c r="E64" s="144" t="str">
        <f>'Учебный план (очная)'!E84</f>
        <v>4</v>
      </c>
      <c r="F64" s="144">
        <f>'Учебный план (очная)'!F84</f>
        <v>0</v>
      </c>
      <c r="G64" s="144">
        <f>'Учебный план (очная)'!G84</f>
        <v>0</v>
      </c>
      <c r="H64" s="144">
        <f>'Учебный план (очная)'!H84</f>
        <v>0</v>
      </c>
      <c r="I64" s="136"/>
      <c r="J64" s="140"/>
      <c r="K64" s="240">
        <f>'Учебный план (очная)'!K84</f>
        <v>144</v>
      </c>
      <c r="L64" s="138">
        <f t="shared" si="28"/>
        <v>0</v>
      </c>
      <c r="M64" s="138">
        <f t="shared" si="42"/>
        <v>0</v>
      </c>
      <c r="N64" s="138">
        <f t="shared" si="43"/>
        <v>0</v>
      </c>
      <c r="O64" s="138">
        <f t="shared" si="44"/>
        <v>0</v>
      </c>
      <c r="P64" s="138">
        <f t="shared" si="45"/>
        <v>0</v>
      </c>
      <c r="Q64" s="138">
        <f t="shared" si="46"/>
        <v>0</v>
      </c>
      <c r="R64" s="138" t="e">
        <f t="shared" si="47"/>
        <v>#REF!</v>
      </c>
      <c r="S64" s="160" t="e">
        <f>#REF!+AI64+AQ64+AY64+BG64+BO64+BW64+CE64+CM64+CU64</f>
        <v>#REF!</v>
      </c>
      <c r="T64" s="241" t="e">
        <f>'Учебный план (заочная)'!#REF!</f>
        <v>#REF!</v>
      </c>
      <c r="U64" s="242"/>
      <c r="V64" s="242"/>
      <c r="W64" s="242"/>
      <c r="X64" s="242"/>
      <c r="Y64" s="242"/>
      <c r="Z64" s="242"/>
      <c r="AA64" s="292" t="e">
        <f>'Учебный план (заочная)'!#REF!</f>
        <v>#REF!</v>
      </c>
    </row>
    <row r="65" spans="2:27" x14ac:dyDescent="0.2">
      <c r="B65" s="144" t="str">
        <f>'Учебный план (очная)'!B85</f>
        <v>Слесарная</v>
      </c>
      <c r="C65" s="144">
        <f>'Учебный план (очная)'!C85</f>
        <v>0</v>
      </c>
      <c r="D65" s="144">
        <f>'Учебный план (очная)'!D85</f>
        <v>0</v>
      </c>
      <c r="E65" s="144" t="str">
        <f>'Учебный план (очная)'!E85</f>
        <v>5</v>
      </c>
      <c r="F65" s="144">
        <f>'Учебный план (очная)'!F85</f>
        <v>0</v>
      </c>
      <c r="G65" s="144">
        <f>'Учебный план (очная)'!G85</f>
        <v>0</v>
      </c>
      <c r="H65" s="144">
        <f>'Учебный план (очная)'!H85</f>
        <v>0</v>
      </c>
      <c r="I65" s="136"/>
      <c r="J65" s="140"/>
      <c r="K65" s="240">
        <f>'Учебный план (очная)'!K85</f>
        <v>144</v>
      </c>
      <c r="L65" s="138">
        <f t="shared" si="28"/>
        <v>0</v>
      </c>
      <c r="M65" s="138">
        <f t="shared" si="42"/>
        <v>0</v>
      </c>
      <c r="N65" s="138">
        <f t="shared" si="43"/>
        <v>0</v>
      </c>
      <c r="O65" s="138">
        <f t="shared" si="44"/>
        <v>0</v>
      </c>
      <c r="P65" s="138">
        <f t="shared" si="45"/>
        <v>0</v>
      </c>
      <c r="Q65" s="138">
        <f t="shared" si="46"/>
        <v>0</v>
      </c>
      <c r="R65" s="138" t="e">
        <f t="shared" si="47"/>
        <v>#REF!</v>
      </c>
      <c r="S65" s="160" t="e">
        <f>#REF!+AI65+AQ65+AY65+BG65+BO65+BW65+CE65+CM65+CU65</f>
        <v>#REF!</v>
      </c>
      <c r="T65" s="241" t="e">
        <f>'Учебный план (заочная)'!#REF!</f>
        <v>#REF!</v>
      </c>
      <c r="U65" s="242"/>
      <c r="V65" s="242"/>
      <c r="W65" s="242"/>
      <c r="X65" s="242"/>
      <c r="Y65" s="242"/>
      <c r="Z65" s="242"/>
      <c r="AA65" s="292" t="e">
        <f>'Учебный план (заочная)'!#REF!</f>
        <v>#REF!</v>
      </c>
    </row>
    <row r="66" spans="2:27" x14ac:dyDescent="0.2">
      <c r="B66" s="144" t="str">
        <f>'Учебный план (очная)'!B86</f>
        <v xml:space="preserve">Групповая плавательная </v>
      </c>
      <c r="C66" s="144">
        <f>'Учебный план (очная)'!C86</f>
        <v>0</v>
      </c>
      <c r="D66" s="144">
        <f>'Учебный план (очная)'!D86</f>
        <v>0</v>
      </c>
      <c r="E66" s="144" t="str">
        <f>'Учебный план (очная)'!E86</f>
        <v>4</v>
      </c>
      <c r="F66" s="144">
        <f>'Учебный план (очная)'!F86</f>
        <v>0</v>
      </c>
      <c r="G66" s="144">
        <f>'Учебный план (очная)'!G86</f>
        <v>0</v>
      </c>
      <c r="H66" s="144">
        <f>'Учебный план (очная)'!H86</f>
        <v>0</v>
      </c>
      <c r="I66" s="136"/>
      <c r="J66" s="140"/>
      <c r="K66" s="240">
        <f>'Учебный план (очная)'!K86</f>
        <v>216</v>
      </c>
      <c r="L66" s="138">
        <f t="shared" si="28"/>
        <v>0</v>
      </c>
      <c r="M66" s="138">
        <f t="shared" si="42"/>
        <v>0</v>
      </c>
      <c r="N66" s="138">
        <f t="shared" si="43"/>
        <v>0</v>
      </c>
      <c r="O66" s="138">
        <f t="shared" si="44"/>
        <v>0</v>
      </c>
      <c r="P66" s="138">
        <f t="shared" si="45"/>
        <v>0</v>
      </c>
      <c r="Q66" s="138">
        <f t="shared" si="46"/>
        <v>0</v>
      </c>
      <c r="R66" s="138" t="e">
        <f t="shared" si="47"/>
        <v>#REF!</v>
      </c>
      <c r="S66" s="160" t="e">
        <f>#REF!+AI66+AQ66+AY66+BG66+BO66+BW66+CE66+CM66+CU66</f>
        <v>#REF!</v>
      </c>
      <c r="T66" s="241" t="e">
        <f>'Учебный план (заочная)'!#REF!</f>
        <v>#REF!</v>
      </c>
      <c r="U66" s="242"/>
      <c r="V66" s="242"/>
      <c r="W66" s="242"/>
      <c r="X66" s="242"/>
      <c r="Y66" s="242"/>
      <c r="Z66" s="242"/>
      <c r="AA66" s="292" t="e">
        <f>'Учебный план (заочная)'!#REF!</f>
        <v>#REF!</v>
      </c>
    </row>
    <row r="67" spans="2:27" x14ac:dyDescent="0.2">
      <c r="B67" s="144" t="str">
        <f>'Учебный план (очная)'!B87</f>
        <v xml:space="preserve">Шлюпочная </v>
      </c>
      <c r="C67" s="144">
        <f>'Учебный план (очная)'!C87</f>
        <v>0</v>
      </c>
      <c r="D67" s="144">
        <f>'Учебный план (очная)'!D87</f>
        <v>0</v>
      </c>
      <c r="E67" s="144" t="str">
        <f>'Учебный план (очная)'!E87</f>
        <v>4</v>
      </c>
      <c r="F67" s="144">
        <f>'Учебный план (очная)'!F87</f>
        <v>0</v>
      </c>
      <c r="G67" s="144">
        <f>'Учебный план (очная)'!G87</f>
        <v>0</v>
      </c>
      <c r="H67" s="144">
        <f>'Учебный план (очная)'!H87</f>
        <v>0</v>
      </c>
      <c r="I67" s="136"/>
      <c r="J67" s="140"/>
      <c r="K67" s="240">
        <f>'Учебный план (очная)'!K87</f>
        <v>72</v>
      </c>
      <c r="L67" s="138">
        <f t="shared" si="28"/>
        <v>0</v>
      </c>
      <c r="M67" s="138">
        <f t="shared" si="42"/>
        <v>0</v>
      </c>
      <c r="N67" s="138">
        <f t="shared" si="43"/>
        <v>0</v>
      </c>
      <c r="O67" s="138">
        <f t="shared" si="44"/>
        <v>0</v>
      </c>
      <c r="P67" s="138">
        <f t="shared" si="45"/>
        <v>0</v>
      </c>
      <c r="Q67" s="138">
        <f t="shared" si="46"/>
        <v>0</v>
      </c>
      <c r="R67" s="138" t="e">
        <f t="shared" si="47"/>
        <v>#REF!</v>
      </c>
      <c r="S67" s="160" t="e">
        <f>#REF!+AI67+AQ67+AY67+BG67+BO67+BW67+CE67+CM67+CU67</f>
        <v>#REF!</v>
      </c>
      <c r="T67" s="241" t="e">
        <f>'Учебный план (заочная)'!#REF!</f>
        <v>#REF!</v>
      </c>
      <c r="U67" s="242"/>
      <c r="V67" s="242"/>
      <c r="W67" s="242"/>
      <c r="X67" s="242"/>
      <c r="Y67" s="242"/>
      <c r="Z67" s="242"/>
      <c r="AA67" s="292" t="e">
        <f>'Учебный план (заочная)'!#REF!</f>
        <v>#REF!</v>
      </c>
    </row>
    <row r="68" spans="2:27" x14ac:dyDescent="0.2">
      <c r="B68" s="308" t="str">
        <f>'Учебный план (очная)'!B91</f>
        <v>Производственная практика</v>
      </c>
      <c r="C68" s="308">
        <f>'Учебный план (очная)'!C91</f>
        <v>0</v>
      </c>
      <c r="D68" s="308">
        <f>'Учебный план (очная)'!D91</f>
        <v>0</v>
      </c>
      <c r="E68" s="308">
        <f>'Учебный план (очная)'!E91</f>
        <v>0</v>
      </c>
      <c r="F68" s="308">
        <f>'Учебный план (очная)'!F91</f>
        <v>0</v>
      </c>
      <c r="G68" s="308">
        <f>'Учебный план (очная)'!G91</f>
        <v>0</v>
      </c>
      <c r="H68" s="308">
        <f>'Учебный план (очная)'!H91</f>
        <v>0</v>
      </c>
      <c r="I68" s="285"/>
      <c r="J68" s="309"/>
      <c r="K68" s="239">
        <f>'Учебный план (очная)'!K91</f>
        <v>1296</v>
      </c>
      <c r="L68" s="274">
        <f t="shared" si="28"/>
        <v>3</v>
      </c>
      <c r="M68" s="274">
        <f t="shared" si="42"/>
        <v>0</v>
      </c>
      <c r="N68" s="274">
        <f t="shared" si="43"/>
        <v>3</v>
      </c>
      <c r="O68" s="274">
        <f t="shared" si="44"/>
        <v>0</v>
      </c>
      <c r="P68" s="274">
        <f t="shared" si="45"/>
        <v>0</v>
      </c>
      <c r="Q68" s="274">
        <f t="shared" si="46"/>
        <v>0</v>
      </c>
      <c r="R68" s="274" t="e">
        <f t="shared" si="47"/>
        <v>#VALUE!</v>
      </c>
      <c r="S68" s="289" t="e">
        <f>#REF!+AI68+AQ68+AY68+BG68+BO68+BW68+CE68+CM68+CU68</f>
        <v>#REF!</v>
      </c>
      <c r="T68" s="241">
        <f>'Учебный план (заочная)'!M66</f>
        <v>1296</v>
      </c>
      <c r="U68" s="249">
        <f>'Учебный план (заочная)'!D67</f>
        <v>0</v>
      </c>
      <c r="V68" s="249" t="str">
        <f>'Учебный план (заочная)'!E67</f>
        <v>3</v>
      </c>
      <c r="W68" s="249">
        <f>'Учебный план (заочная)'!F67</f>
        <v>0</v>
      </c>
      <c r="X68" s="249">
        <f>'Учебный план (заочная)'!G67</f>
        <v>0</v>
      </c>
      <c r="Y68" s="249">
        <f>'Учебный план (заочная)'!H67</f>
        <v>0</v>
      </c>
      <c r="Z68" s="249">
        <f>'Учебный план (заочная)'!I67</f>
        <v>0</v>
      </c>
      <c r="AA68" s="293" t="str">
        <f>'Учебный план (заочная)'!B66</f>
        <v>Производственная практика</v>
      </c>
    </row>
    <row r="69" spans="2:27" ht="38.25" x14ac:dyDescent="0.2">
      <c r="B69" s="144" t="str">
        <f>'Учебный план (очная)'!B92</f>
        <v>Производственная практика (практика по профилю специальности)</v>
      </c>
      <c r="C69" s="144">
        <f>'Учебный план (очная)'!C92</f>
        <v>0</v>
      </c>
      <c r="D69" s="144">
        <f>'Учебный план (очная)'!D92</f>
        <v>0</v>
      </c>
      <c r="E69" s="144" t="str">
        <f>'Учебный план (очная)'!E92</f>
        <v>7</v>
      </c>
      <c r="F69" s="144">
        <f>'Учебный план (очная)'!F92</f>
        <v>0</v>
      </c>
      <c r="G69" s="144">
        <f>'Учебный план (очная)'!G92</f>
        <v>0</v>
      </c>
      <c r="H69" s="144">
        <f>'Учебный план (очная)'!H92</f>
        <v>0</v>
      </c>
      <c r="I69" s="136"/>
      <c r="J69" s="140"/>
      <c r="K69" s="240">
        <f>'Учебный план (очная)'!K92</f>
        <v>1152</v>
      </c>
      <c r="L69" s="138">
        <f t="shared" si="28"/>
        <v>3</v>
      </c>
      <c r="M69" s="138">
        <f t="shared" si="42"/>
        <v>0</v>
      </c>
      <c r="N69" s="138">
        <f t="shared" si="43"/>
        <v>3</v>
      </c>
      <c r="O69" s="138">
        <f t="shared" si="44"/>
        <v>0</v>
      </c>
      <c r="P69" s="138">
        <f t="shared" si="45"/>
        <v>0</v>
      </c>
      <c r="Q69" s="138">
        <f t="shared" si="46"/>
        <v>0</v>
      </c>
      <c r="R69" s="138" t="e">
        <f t="shared" si="47"/>
        <v>#VALUE!</v>
      </c>
      <c r="S69" s="160" t="e">
        <f>#REF!+AI69+AQ69+AY69+BG69+BO69+BW69+CE69+CM69+CU69</f>
        <v>#REF!</v>
      </c>
      <c r="T69" s="241">
        <f>'Учебный план (заочная)'!M67</f>
        <v>1152</v>
      </c>
      <c r="U69" s="242">
        <f>'Учебный план (заочная)'!D68</f>
        <v>0</v>
      </c>
      <c r="V69" s="242" t="str">
        <f>'Учебный план (заочная)'!E68</f>
        <v>3,4</v>
      </c>
      <c r="W69" s="242">
        <f>'Учебный план (заочная)'!F68</f>
        <v>0</v>
      </c>
      <c r="X69" s="242">
        <f>'Учебный план (заочная)'!G68</f>
        <v>0</v>
      </c>
      <c r="Y69" s="242">
        <f>'Учебный план (заочная)'!H68</f>
        <v>0</v>
      </c>
      <c r="Z69" s="242">
        <f>'Учебный план (заочная)'!I68</f>
        <v>0</v>
      </c>
      <c r="AA69" s="292" t="str">
        <f>'Учебный план (заочная)'!B67</f>
        <v>Производственная практика (практика по профилю специальности)</v>
      </c>
    </row>
    <row r="70" spans="2:27" x14ac:dyDescent="0.2">
      <c r="B70" s="144" t="str">
        <f>'Учебный план (очная)'!B93</f>
        <v>Преддипломная практика</v>
      </c>
      <c r="C70" s="144">
        <f>'Учебный план (очная)'!C93</f>
        <v>0</v>
      </c>
      <c r="D70" s="144">
        <f>'Учебный план (очная)'!D93</f>
        <v>0</v>
      </c>
      <c r="E70" s="144" t="str">
        <f>'Учебный план (очная)'!E93</f>
        <v>7</v>
      </c>
      <c r="F70" s="144">
        <f>'Учебный план (очная)'!F93</f>
        <v>0</v>
      </c>
      <c r="G70" s="144">
        <f>'Учебный план (очная)'!G93</f>
        <v>0</v>
      </c>
      <c r="H70" s="144">
        <f>'Учебный план (очная)'!H93</f>
        <v>0</v>
      </c>
      <c r="I70" s="136"/>
      <c r="J70" s="140"/>
      <c r="K70" s="240">
        <f>'Учебный план (очная)'!K93</f>
        <v>144</v>
      </c>
      <c r="L70" s="138">
        <f t="shared" si="28"/>
        <v>0</v>
      </c>
      <c r="M70" s="138">
        <f t="shared" si="42"/>
        <v>0</v>
      </c>
      <c r="N70" s="138">
        <f t="shared" si="43"/>
        <v>0</v>
      </c>
      <c r="O70" s="138">
        <f t="shared" si="44"/>
        <v>0</v>
      </c>
      <c r="P70" s="138">
        <f t="shared" si="45"/>
        <v>0</v>
      </c>
      <c r="Q70" s="138">
        <f t="shared" si="46"/>
        <v>0</v>
      </c>
      <c r="R70" s="138" t="e">
        <f t="shared" si="47"/>
        <v>#VALUE!</v>
      </c>
      <c r="S70" s="160" t="e">
        <f>#REF!+AI70+AQ70+AY70+BG70+BO70+BW70+CE70+CM70+CU70</f>
        <v>#REF!</v>
      </c>
      <c r="T70" s="241">
        <f>'Учебный план (заочная)'!M68</f>
        <v>0</v>
      </c>
      <c r="U70" s="242">
        <f>'Учебный план (заочная)'!D69</f>
        <v>0</v>
      </c>
      <c r="V70" s="242">
        <f>'Учебный план (заочная)'!E69</f>
        <v>0</v>
      </c>
      <c r="W70" s="242">
        <f>'Учебный план (заочная)'!F69</f>
        <v>0</v>
      </c>
      <c r="X70" s="242">
        <f>'Учебный план (заочная)'!G69</f>
        <v>0</v>
      </c>
      <c r="Y70" s="242">
        <f>'Учебный план (заочная)'!H69</f>
        <v>0</v>
      </c>
      <c r="Z70" s="242">
        <f>'Учебный план (заочная)'!I69</f>
        <v>0</v>
      </c>
      <c r="AA70" s="292" t="str">
        <f>'Учебный план (заочная)'!B68</f>
        <v>Преддипломная практика</v>
      </c>
    </row>
    <row r="71" spans="2:27" ht="25.5" x14ac:dyDescent="0.2">
      <c r="B71" s="308" t="str">
        <f>'Учебный план (очная)'!B94</f>
        <v>Государственная итоговая аттестация</v>
      </c>
      <c r="C71" s="308">
        <f>'Учебный план (очная)'!C94</f>
        <v>0</v>
      </c>
      <c r="D71" s="308">
        <f>'Учебный план (очная)'!D94</f>
        <v>0</v>
      </c>
      <c r="E71" s="308">
        <f>'Учебный план (очная)'!E94</f>
        <v>0</v>
      </c>
      <c r="F71" s="308">
        <f>'Учебный план (очная)'!F94</f>
        <v>0</v>
      </c>
      <c r="G71" s="308">
        <f>'Учебный план (очная)'!G94</f>
        <v>0</v>
      </c>
      <c r="H71" s="308">
        <f>'Учебный план (очная)'!H94</f>
        <v>0</v>
      </c>
      <c r="I71" s="285"/>
      <c r="J71" s="309"/>
      <c r="K71" s="239">
        <f>'Учебный план (очная)'!K94</f>
        <v>216</v>
      </c>
      <c r="L71" s="274">
        <f t="shared" si="28"/>
        <v>0</v>
      </c>
      <c r="M71" s="274">
        <f t="shared" si="42"/>
        <v>0</v>
      </c>
      <c r="N71" s="274">
        <f t="shared" si="43"/>
        <v>0</v>
      </c>
      <c r="O71" s="274">
        <f t="shared" si="44"/>
        <v>0</v>
      </c>
      <c r="P71" s="274">
        <f t="shared" si="45"/>
        <v>0</v>
      </c>
      <c r="Q71" s="274">
        <f t="shared" si="46"/>
        <v>0</v>
      </c>
      <c r="R71" s="274" t="e">
        <f t="shared" si="47"/>
        <v>#VALUE!</v>
      </c>
      <c r="S71" s="289" t="e">
        <f>#REF!+AI71+AQ71+AY71+BG71+BO71+BW71+CE71+CM71+CU71</f>
        <v>#REF!</v>
      </c>
      <c r="T71" s="248">
        <f>'Учебный план (заочная)'!M69</f>
        <v>216</v>
      </c>
      <c r="U71" s="249">
        <f>'Учебный план (заочная)'!D70</f>
        <v>0</v>
      </c>
      <c r="V71" s="249">
        <f>'Учебный план (заочная)'!E70</f>
        <v>0</v>
      </c>
      <c r="W71" s="249">
        <f>'Учебный план (заочная)'!F70</f>
        <v>0</v>
      </c>
      <c r="X71" s="249">
        <f>'Учебный план (заочная)'!G70</f>
        <v>0</v>
      </c>
      <c r="Y71" s="249">
        <f>'Учебный план (заочная)'!H70</f>
        <v>0</v>
      </c>
      <c r="Z71" s="249"/>
      <c r="AA71" s="293" t="str">
        <f>'Учебный план (заочная)'!B69</f>
        <v>Государственная итоговая аттестация</v>
      </c>
    </row>
    <row r="72" spans="2:27" x14ac:dyDescent="0.2">
      <c r="B72" s="144" t="str">
        <f>'Учебный план (очная)'!B95</f>
        <v>Подготовка ВКР</v>
      </c>
      <c r="C72" s="144">
        <f>'Учебный план (очная)'!C95</f>
        <v>0</v>
      </c>
      <c r="D72" s="144">
        <f>'Учебный план (очная)'!D95</f>
        <v>0</v>
      </c>
      <c r="E72" s="144">
        <f>'Учебный план (очная)'!E95</f>
        <v>0</v>
      </c>
      <c r="F72" s="144">
        <f>'Учебный план (очная)'!F95</f>
        <v>0</v>
      </c>
      <c r="G72" s="144">
        <f>'Учебный план (очная)'!G95</f>
        <v>0</v>
      </c>
      <c r="H72" s="144">
        <f>'Учебный план (очная)'!H95</f>
        <v>0</v>
      </c>
      <c r="I72" s="144">
        <f>'Учебный план (очная)'!I95</f>
        <v>0</v>
      </c>
      <c r="J72" s="144">
        <f>'Учебный план (очная)'!J95</f>
        <v>0</v>
      </c>
      <c r="K72" s="240">
        <f>'Учебный план (очная)'!K95</f>
        <v>216</v>
      </c>
      <c r="L72" s="138">
        <f t="shared" si="28"/>
        <v>0</v>
      </c>
      <c r="M72" s="138">
        <f t="shared" si="42"/>
        <v>0</v>
      </c>
      <c r="N72" s="138">
        <f t="shared" si="43"/>
        <v>0</v>
      </c>
      <c r="O72" s="138">
        <f t="shared" si="44"/>
        <v>0</v>
      </c>
      <c r="P72" s="138">
        <f t="shared" si="45"/>
        <v>0</v>
      </c>
      <c r="Q72" s="138">
        <f t="shared" si="46"/>
        <v>0</v>
      </c>
      <c r="R72" s="138" t="e">
        <f t="shared" si="47"/>
        <v>#VALUE!</v>
      </c>
      <c r="S72" s="160" t="e">
        <f>#REF!+AI72+AQ72+AY72+BG72+BO72+BW72+CE72+CM72+CU72</f>
        <v>#REF!</v>
      </c>
      <c r="T72" s="241">
        <f>'Учебный план (заочная)'!M70</f>
        <v>216</v>
      </c>
      <c r="U72" s="242">
        <f>'Учебный план (заочная)'!D71</f>
        <v>0</v>
      </c>
      <c r="V72" s="242">
        <f>'Учебный план (заочная)'!E71</f>
        <v>0</v>
      </c>
      <c r="W72" s="242">
        <f>'Учебный план (заочная)'!F71</f>
        <v>0</v>
      </c>
      <c r="X72" s="242">
        <f>'Учебный план (заочная)'!G71</f>
        <v>0</v>
      </c>
      <c r="Y72" s="242">
        <f>'Учебный план (заочная)'!H71</f>
        <v>0</v>
      </c>
      <c r="Z72" s="242"/>
      <c r="AA72" s="292" t="str">
        <f>'Учебный план (заочная)'!B70</f>
        <v>Подготовка ВКР</v>
      </c>
    </row>
    <row r="73" spans="2:27" x14ac:dyDescent="0.2">
      <c r="B73" s="144" t="str">
        <f>'Учебный план (очная)'!B96</f>
        <v>Защита ВКР</v>
      </c>
      <c r="C73" s="144">
        <f>'Учебный план (очная)'!C96</f>
        <v>0</v>
      </c>
      <c r="D73" s="144">
        <f>'Учебный план (очная)'!D96</f>
        <v>0</v>
      </c>
      <c r="E73" s="144">
        <f>'Учебный план (очная)'!E96</f>
        <v>0</v>
      </c>
      <c r="F73" s="144">
        <f>'Учебный план (очная)'!F96</f>
        <v>0</v>
      </c>
      <c r="G73" s="144">
        <f>'Учебный план (очная)'!G96</f>
        <v>0</v>
      </c>
      <c r="H73" s="144">
        <f>'Учебный план (очная)'!H96</f>
        <v>0</v>
      </c>
      <c r="I73" s="136"/>
      <c r="J73" s="140"/>
      <c r="K73" s="240">
        <f>'Учебный план (очная)'!K96</f>
        <v>0</v>
      </c>
      <c r="L73" s="138">
        <f t="shared" si="28"/>
        <v>0</v>
      </c>
      <c r="M73" s="138">
        <f t="shared" si="42"/>
        <v>0</v>
      </c>
      <c r="N73" s="138">
        <f t="shared" si="43"/>
        <v>0</v>
      </c>
      <c r="O73" s="138">
        <f t="shared" si="44"/>
        <v>0</v>
      </c>
      <c r="P73" s="138">
        <f t="shared" si="45"/>
        <v>0</v>
      </c>
      <c r="Q73" s="138">
        <f t="shared" si="46"/>
        <v>0</v>
      </c>
      <c r="R73" s="138" t="e">
        <f t="shared" si="47"/>
        <v>#VALUE!</v>
      </c>
      <c r="S73" s="160" t="e">
        <f>#REF!+AI73+AQ73+AY73+BG73+BO73+BW73+CE73+CM73+CU73</f>
        <v>#REF!</v>
      </c>
      <c r="T73" s="241">
        <f>'Учебный план (заочная)'!M71</f>
        <v>0</v>
      </c>
      <c r="U73" s="242">
        <f>'Учебный план (заочная)'!D72</f>
        <v>0</v>
      </c>
      <c r="V73" s="242">
        <f>'Учебный план (заочная)'!E72</f>
        <v>0</v>
      </c>
      <c r="W73" s="242">
        <f>'Учебный план (заочная)'!F72</f>
        <v>0</v>
      </c>
      <c r="X73" s="242">
        <f>'Учебный план (заочная)'!G72</f>
        <v>0</v>
      </c>
      <c r="Y73" s="242">
        <f>'Учебный план (заочная)'!H72</f>
        <v>0</v>
      </c>
      <c r="Z73" s="242"/>
      <c r="AA73" s="292" t="str">
        <f>'Учебный план (заочная)'!B71</f>
        <v>Защита ВКР</v>
      </c>
    </row>
    <row r="74" spans="2:27" x14ac:dyDescent="0.2">
      <c r="B74" s="144">
        <f>'Учебный план (очная)'!B98</f>
        <v>0</v>
      </c>
      <c r="C74" s="144">
        <f>'Учебный план (очная)'!C98</f>
        <v>0</v>
      </c>
      <c r="D74" s="144">
        <f>'Учебный план (очная)'!D98</f>
        <v>0</v>
      </c>
      <c r="E74" s="144">
        <f>'Учебный план (очная)'!E98</f>
        <v>0</v>
      </c>
      <c r="F74" s="144">
        <f>'Учебный план (очная)'!F98</f>
        <v>0</v>
      </c>
      <c r="G74" s="144">
        <f>'Учебный план (очная)'!G98</f>
        <v>0</v>
      </c>
      <c r="H74" s="144">
        <f>'Учебный план (очная)'!H98</f>
        <v>0</v>
      </c>
      <c r="I74" s="136"/>
      <c r="J74" s="140"/>
      <c r="K74" s="240">
        <f>'Учебный план (очная)'!K98</f>
        <v>0</v>
      </c>
      <c r="L74" s="138">
        <f t="shared" si="28"/>
        <v>0</v>
      </c>
      <c r="M74" s="138">
        <f t="shared" si="42"/>
        <v>0</v>
      </c>
      <c r="N74" s="138">
        <f t="shared" si="43"/>
        <v>0</v>
      </c>
      <c r="O74" s="138">
        <f t="shared" si="44"/>
        <v>0</v>
      </c>
      <c r="P74" s="138">
        <f t="shared" si="45"/>
        <v>0</v>
      </c>
      <c r="Q74" s="138">
        <f t="shared" si="46"/>
        <v>0</v>
      </c>
      <c r="R74" s="138">
        <f t="shared" si="47"/>
        <v>0</v>
      </c>
      <c r="S74" s="160" t="e">
        <f>#REF!+AI74+AQ74+AY74+BG74+BO74+BW74+CE74+CM74+CU74</f>
        <v>#REF!</v>
      </c>
      <c r="T74" s="241">
        <f>'Учебный план (заочная)'!M73</f>
        <v>0</v>
      </c>
      <c r="U74" s="242">
        <f>'Учебный план (заочная)'!D74</f>
        <v>0</v>
      </c>
      <c r="V74" s="242">
        <f>'Учебный план (заочная)'!E74</f>
        <v>0</v>
      </c>
      <c r="W74" s="242">
        <f>'Учебный план (заочная)'!F74</f>
        <v>0</v>
      </c>
      <c r="X74" s="242">
        <f>'Учебный план (заочная)'!G74</f>
        <v>0</v>
      </c>
      <c r="Y74" s="242">
        <f>'Учебный план (заочная)'!H74</f>
        <v>0</v>
      </c>
      <c r="Z74" s="242"/>
      <c r="AA74" s="292">
        <f>'Учебный план (заочная)'!B73</f>
        <v>0</v>
      </c>
    </row>
    <row r="75" spans="2:27" x14ac:dyDescent="0.2">
      <c r="B75" s="144">
        <f>'Учебный план (очная)'!B99</f>
        <v>0</v>
      </c>
      <c r="C75" s="144">
        <f>'Учебный план (очная)'!C99</f>
        <v>0</v>
      </c>
      <c r="D75" s="144">
        <f>'Учебный план (очная)'!D99</f>
        <v>0</v>
      </c>
      <c r="E75" s="144">
        <f>'Учебный план (очная)'!E99</f>
        <v>0</v>
      </c>
      <c r="F75" s="144">
        <f>'Учебный план (очная)'!F99</f>
        <v>0</v>
      </c>
      <c r="G75" s="144">
        <f>'Учебный план (очная)'!G99</f>
        <v>0</v>
      </c>
      <c r="H75" s="144">
        <f>'Учебный план (очная)'!H99</f>
        <v>0</v>
      </c>
      <c r="I75" s="136"/>
      <c r="J75" s="140"/>
      <c r="K75" s="240">
        <f>'Учебный план (очная)'!K99</f>
        <v>0</v>
      </c>
      <c r="L75" s="138">
        <f t="shared" si="28"/>
        <v>0</v>
      </c>
      <c r="M75" s="138">
        <f t="shared" si="42"/>
        <v>0</v>
      </c>
      <c r="N75" s="138">
        <f t="shared" si="43"/>
        <v>0</v>
      </c>
      <c r="O75" s="138">
        <f t="shared" si="44"/>
        <v>0</v>
      </c>
      <c r="P75" s="138">
        <f t="shared" si="45"/>
        <v>0</v>
      </c>
      <c r="Q75" s="138">
        <f t="shared" si="46"/>
        <v>0</v>
      </c>
      <c r="R75" s="138">
        <f t="shared" si="47"/>
        <v>0</v>
      </c>
      <c r="S75" s="160" t="e">
        <f>#REF!+AI75+AQ75+AY75+BG75+BO75+BW75+CE75+CM75+CU75</f>
        <v>#REF!</v>
      </c>
      <c r="T75" s="241">
        <f>'Учебный план (заочная)'!M74</f>
        <v>0</v>
      </c>
      <c r="U75" s="242">
        <f>'Учебный план (заочная)'!D75</f>
        <v>0</v>
      </c>
      <c r="V75" s="242">
        <f>'Учебный план (заочная)'!E75</f>
        <v>0</v>
      </c>
      <c r="W75" s="242">
        <f>'Учебный план (заочная)'!F75</f>
        <v>0</v>
      </c>
      <c r="X75" s="242">
        <f>'Учебный план (заочная)'!G75</f>
        <v>0</v>
      </c>
      <c r="Y75" s="242">
        <f>'Учебный план (заочная)'!H75</f>
        <v>0</v>
      </c>
      <c r="Z75" s="242"/>
      <c r="AA75" s="292">
        <f>'Учебный план (заочная)'!B74</f>
        <v>0</v>
      </c>
    </row>
    <row r="76" spans="2:27" x14ac:dyDescent="0.2">
      <c r="B76" s="144">
        <f>'Учебный план (очная)'!B100</f>
        <v>0</v>
      </c>
      <c r="C76" s="144">
        <f>'Учебный план (очная)'!C100</f>
        <v>0</v>
      </c>
      <c r="D76" s="144">
        <f>'Учебный план (очная)'!D100</f>
        <v>0</v>
      </c>
      <c r="E76" s="144">
        <f>'Учебный план (очная)'!E100</f>
        <v>0</v>
      </c>
      <c r="F76" s="144">
        <f>'Учебный план (очная)'!F100</f>
        <v>0</v>
      </c>
      <c r="G76" s="144">
        <f>'Учебный план (очная)'!G100</f>
        <v>0</v>
      </c>
      <c r="H76" s="144">
        <f>'Учебный план (очная)'!H100</f>
        <v>0</v>
      </c>
      <c r="I76" s="136"/>
      <c r="J76" s="140"/>
      <c r="K76" s="240">
        <f>'Учебный план (очная)'!K100</f>
        <v>0</v>
      </c>
      <c r="L76" s="138">
        <f t="shared" si="28"/>
        <v>0</v>
      </c>
      <c r="M76" s="138">
        <f t="shared" si="42"/>
        <v>0</v>
      </c>
      <c r="N76" s="138">
        <f t="shared" si="43"/>
        <v>0</v>
      </c>
      <c r="O76" s="138">
        <f t="shared" si="44"/>
        <v>0</v>
      </c>
      <c r="P76" s="138">
        <f t="shared" si="45"/>
        <v>0</v>
      </c>
      <c r="Q76" s="138">
        <f t="shared" si="46"/>
        <v>0</v>
      </c>
      <c r="R76" s="138">
        <f t="shared" si="47"/>
        <v>0</v>
      </c>
      <c r="S76" s="160" t="e">
        <f>#REF!+AI76+AQ76+AY76+BG76+BO76+BW76+CE76+CM76+CU76</f>
        <v>#REF!</v>
      </c>
      <c r="T76" s="241">
        <f>'Учебный план (заочная)'!M75</f>
        <v>0</v>
      </c>
      <c r="U76" s="242">
        <f>'Учебный план (заочная)'!D76</f>
        <v>0</v>
      </c>
      <c r="V76" s="242">
        <f>'Учебный план (заочная)'!E76</f>
        <v>0</v>
      </c>
      <c r="W76" s="242">
        <f>'Учебный план (заочная)'!F76</f>
        <v>0</v>
      </c>
      <c r="X76" s="242">
        <f>'Учебный план (заочная)'!G76</f>
        <v>0</v>
      </c>
      <c r="Y76" s="242">
        <f>'Учебный план (заочная)'!H76</f>
        <v>0</v>
      </c>
      <c r="Z76" s="242"/>
      <c r="AA76" s="292">
        <f>'Учебный план (заочная)'!B75</f>
        <v>0</v>
      </c>
    </row>
    <row r="77" spans="2:27" x14ac:dyDescent="0.2">
      <c r="B77" s="144" t="str">
        <f>'Учебный план (очная)'!B101</f>
        <v>Всего часов обучения по циклам</v>
      </c>
      <c r="C77" s="144">
        <f>'Учебный план (очная)'!C101</f>
        <v>0</v>
      </c>
      <c r="D77" s="144">
        <f>'Учебный план (очная)'!D101</f>
        <v>0</v>
      </c>
      <c r="E77" s="144">
        <f>'Учебный план (очная)'!E101</f>
        <v>0</v>
      </c>
      <c r="F77" s="144">
        <f>'Учебный план (очная)'!F101</f>
        <v>0</v>
      </c>
      <c r="G77" s="144">
        <f>'Учебный план (очная)'!G101</f>
        <v>0</v>
      </c>
      <c r="H77" s="144">
        <f>'Учебный план (очная)'!H101</f>
        <v>0</v>
      </c>
      <c r="I77" s="136"/>
      <c r="J77" s="140"/>
      <c r="K77" s="240">
        <f>'Учебный план (очная)'!K101</f>
        <v>5778</v>
      </c>
      <c r="L77" s="138">
        <f t="shared" si="28"/>
        <v>0</v>
      </c>
      <c r="M77" s="138">
        <f t="shared" si="42"/>
        <v>0</v>
      </c>
      <c r="N77" s="138">
        <f t="shared" si="43"/>
        <v>0</v>
      </c>
      <c r="O77" s="138">
        <f t="shared" si="44"/>
        <v>0</v>
      </c>
      <c r="P77" s="138">
        <f t="shared" si="45"/>
        <v>0</v>
      </c>
      <c r="Q77" s="138">
        <f t="shared" si="46"/>
        <v>0</v>
      </c>
      <c r="R77" s="138" t="e">
        <f t="shared" si="47"/>
        <v>#VALUE!</v>
      </c>
      <c r="S77" s="160" t="e">
        <f>#REF!+AI77+AQ77+AY77+BG77+BO77+BW77+CE77+CM77+CU77</f>
        <v>#REF!</v>
      </c>
      <c r="T77" s="241">
        <f>'Учебный план (заочная)'!M76</f>
        <v>3493</v>
      </c>
      <c r="U77" s="242">
        <f>'Учебный план (заочная)'!D77</f>
        <v>0</v>
      </c>
      <c r="V77" s="242">
        <f>'Учебный план (заочная)'!E77</f>
        <v>0</v>
      </c>
      <c r="W77" s="242">
        <f>'Учебный план (заочная)'!F77</f>
        <v>0</v>
      </c>
      <c r="X77" s="242">
        <f>'Учебный план (заочная)'!G77</f>
        <v>0</v>
      </c>
      <c r="Y77" s="242">
        <f>'Учебный план (заочная)'!H77</f>
        <v>0</v>
      </c>
      <c r="Z77" s="242"/>
      <c r="AA77" s="292" t="str">
        <f>'Учебный план (заочная)'!B76</f>
        <v>Всего часов обучения по циклам</v>
      </c>
    </row>
    <row r="78" spans="2:27" x14ac:dyDescent="0.2">
      <c r="B78" s="144" t="str">
        <f>'Учебный план (очная)'!B102</f>
        <v>Всего часов обучения по практикам</v>
      </c>
      <c r="C78" s="144">
        <f>'Учебный план (очная)'!C102</f>
        <v>0</v>
      </c>
      <c r="D78" s="144">
        <f>'Учебный план (очная)'!D102</f>
        <v>0</v>
      </c>
      <c r="E78" s="144">
        <f>'Учебный план (очная)'!E102</f>
        <v>0</v>
      </c>
      <c r="F78" s="144">
        <f>'Учебный план (очная)'!F102</f>
        <v>0</v>
      </c>
      <c r="G78" s="144">
        <f>'Учебный план (очная)'!G102</f>
        <v>0</v>
      </c>
      <c r="H78" s="144">
        <f>'Учебный план (очная)'!H102</f>
        <v>0</v>
      </c>
      <c r="I78" s="136"/>
      <c r="J78" s="140"/>
      <c r="K78" s="240">
        <f>'Учебный план (очная)'!K102</f>
        <v>1872</v>
      </c>
      <c r="L78" s="138">
        <f t="shared" si="28"/>
        <v>0</v>
      </c>
      <c r="M78" s="138">
        <f t="shared" si="42"/>
        <v>0</v>
      </c>
      <c r="N78" s="138">
        <f t="shared" si="43"/>
        <v>0</v>
      </c>
      <c r="O78" s="138">
        <f t="shared" si="44"/>
        <v>0</v>
      </c>
      <c r="P78" s="138">
        <f t="shared" si="45"/>
        <v>0</v>
      </c>
      <c r="Q78" s="138">
        <f t="shared" si="46"/>
        <v>0</v>
      </c>
      <c r="R78" s="138" t="e">
        <f t="shared" si="47"/>
        <v>#VALUE!</v>
      </c>
      <c r="S78" s="160" t="e">
        <f>#REF!+AI78+AQ78+AY78+BG78+BO78+BW78+CE78+CM78+CU78</f>
        <v>#REF!</v>
      </c>
      <c r="T78" s="241">
        <f>'Учебный план (заочная)'!M77</f>
        <v>1296</v>
      </c>
      <c r="U78" s="242">
        <f>'Учебный план (заочная)'!D78</f>
        <v>0</v>
      </c>
      <c r="V78" s="242">
        <f>'Учебный план (заочная)'!E78</f>
        <v>0</v>
      </c>
      <c r="W78" s="242">
        <f>'Учебный план (заочная)'!F78</f>
        <v>0</v>
      </c>
      <c r="X78" s="242">
        <f>'Учебный план (заочная)'!G78</f>
        <v>0</v>
      </c>
      <c r="Y78" s="242">
        <f>'Учебный план (заочная)'!H78</f>
        <v>0</v>
      </c>
      <c r="Z78" s="242"/>
      <c r="AA78" s="292" t="str">
        <f>'Учебный план (заочная)'!B77</f>
        <v>Всего часов обучения по практикам</v>
      </c>
    </row>
    <row r="79" spans="2:27" ht="25.5" x14ac:dyDescent="0.2">
      <c r="B79" s="144" t="str">
        <f>'Учебный план (очная)'!B103</f>
        <v>Всего часов на государственную итоговую аттестацию</v>
      </c>
      <c r="C79" s="144">
        <f>'Учебный план (очная)'!C103</f>
        <v>0</v>
      </c>
      <c r="D79" s="144">
        <f>'Учебный план (очная)'!D103</f>
        <v>0</v>
      </c>
      <c r="E79" s="144">
        <f>'Учебный план (очная)'!E103</f>
        <v>0</v>
      </c>
      <c r="F79" s="144">
        <f>'Учебный план (очная)'!F103</f>
        <v>0</v>
      </c>
      <c r="G79" s="144">
        <f>'Учебный план (очная)'!G103</f>
        <v>0</v>
      </c>
      <c r="H79" s="144">
        <f>'Учебный план (очная)'!H103</f>
        <v>0</v>
      </c>
      <c r="I79" s="136"/>
      <c r="J79" s="140"/>
      <c r="K79" s="240">
        <f>'Учебный план (очная)'!K103</f>
        <v>216</v>
      </c>
      <c r="L79" s="138">
        <f t="shared" si="28"/>
        <v>0</v>
      </c>
      <c r="M79" s="138">
        <f t="shared" si="42"/>
        <v>0</v>
      </c>
      <c r="N79" s="138">
        <f t="shared" si="43"/>
        <v>0</v>
      </c>
      <c r="O79" s="138">
        <f t="shared" si="44"/>
        <v>0</v>
      </c>
      <c r="P79" s="138">
        <f t="shared" si="45"/>
        <v>0</v>
      </c>
      <c r="Q79" s="138">
        <f t="shared" si="46"/>
        <v>0</v>
      </c>
      <c r="R79" s="138" t="e">
        <f t="shared" si="47"/>
        <v>#VALUE!</v>
      </c>
      <c r="S79" s="160" t="e">
        <f>#REF!+AI79+AQ79+AY79+BG79+BO79+BW79+CE79+CM79+CU79</f>
        <v>#REF!</v>
      </c>
      <c r="T79" s="241">
        <f>'Учебный план (заочная)'!M78</f>
        <v>216</v>
      </c>
      <c r="U79" s="242">
        <f>'Учебный план (заочная)'!D79</f>
        <v>0</v>
      </c>
      <c r="V79" s="242">
        <f>'Учебный план (заочная)'!E79</f>
        <v>0</v>
      </c>
      <c r="W79" s="242">
        <f>'Учебный план (заочная)'!F79</f>
        <v>0</v>
      </c>
      <c r="X79" s="242">
        <f>'Учебный план (заочная)'!G79</f>
        <v>0</v>
      </c>
      <c r="Y79" s="242">
        <f>'Учебный план (заочная)'!H79</f>
        <v>0</v>
      </c>
      <c r="Z79" s="242"/>
      <c r="AA79" s="292" t="str">
        <f>'Учебный план (заочная)'!B78</f>
        <v>Всего часов на государственную итоговую аттестацию</v>
      </c>
    </row>
    <row r="80" spans="2:27" x14ac:dyDescent="0.2">
      <c r="B80" s="144" t="str">
        <f>'Учебный план (очная)'!B104</f>
        <v>Из всего часов на консультации</v>
      </c>
      <c r="C80" s="144">
        <f>'Учебный план (очная)'!C104</f>
        <v>0</v>
      </c>
      <c r="D80" s="144">
        <f>'Учебный план (очная)'!D104</f>
        <v>0</v>
      </c>
      <c r="E80" s="144">
        <f>'Учебный план (очная)'!E104</f>
        <v>0</v>
      </c>
      <c r="F80" s="144">
        <f>'Учебный план (очная)'!F104</f>
        <v>0</v>
      </c>
      <c r="G80" s="144">
        <f>'Учебный план (очная)'!G104</f>
        <v>0</v>
      </c>
      <c r="H80" s="144">
        <f>'Учебный план (очная)'!H104</f>
        <v>0</v>
      </c>
      <c r="I80" s="136"/>
      <c r="J80" s="140"/>
      <c r="K80" s="240">
        <f>'Учебный план (очная)'!K104</f>
        <v>0</v>
      </c>
      <c r="L80" s="138">
        <f t="shared" si="28"/>
        <v>0</v>
      </c>
      <c r="M80" s="138">
        <f t="shared" si="42"/>
        <v>0</v>
      </c>
      <c r="N80" s="138">
        <f t="shared" si="43"/>
        <v>0</v>
      </c>
      <c r="O80" s="138">
        <f t="shared" si="44"/>
        <v>0</v>
      </c>
      <c r="P80" s="138">
        <f t="shared" si="45"/>
        <v>0</v>
      </c>
      <c r="Q80" s="138">
        <f t="shared" si="46"/>
        <v>0</v>
      </c>
      <c r="R80" s="138" t="e">
        <f t="shared" si="47"/>
        <v>#VALUE!</v>
      </c>
      <c r="S80" s="160" t="e">
        <f>#REF!+AI80+AQ80+AY80+BG80+BO80+BW80+CE80+CM80+CU80</f>
        <v>#REF!</v>
      </c>
      <c r="T80" s="241" t="e">
        <f>'Учебный план (заочная)'!M79</f>
        <v>#VALUE!</v>
      </c>
      <c r="U80" s="242">
        <f>'Учебный план (заочная)'!D80</f>
        <v>0</v>
      </c>
      <c r="V80" s="242">
        <f>'Учебный план (заочная)'!E80</f>
        <v>0</v>
      </c>
      <c r="W80" s="242">
        <f>'Учебный план (заочная)'!F80</f>
        <v>0</v>
      </c>
      <c r="X80" s="242">
        <f>'Учебный план (заочная)'!G80</f>
        <v>0</v>
      </c>
      <c r="Y80" s="242">
        <f>'Учебный план (заочная)'!H80</f>
        <v>0</v>
      </c>
      <c r="Z80" s="242"/>
      <c r="AA80" s="292" t="str">
        <f>'Учебный план (заочная)'!B79</f>
        <v>Из всего часов на консультации</v>
      </c>
    </row>
    <row r="81" spans="2:27" x14ac:dyDescent="0.2">
      <c r="B81" s="144" t="str">
        <f>'Учебный план (очная)'!B105</f>
        <v>ИТОГО часов</v>
      </c>
      <c r="C81" s="144">
        <f>'Учебный план (очная)'!C105</f>
        <v>0</v>
      </c>
      <c r="D81" s="144">
        <f>'Учебный план (очная)'!D105</f>
        <v>0</v>
      </c>
      <c r="E81" s="144">
        <f>'Учебный план (очная)'!E105</f>
        <v>0</v>
      </c>
      <c r="F81" s="144">
        <f>'Учебный план (очная)'!F105</f>
        <v>0</v>
      </c>
      <c r="G81" s="144">
        <f>'Учебный план (очная)'!G105</f>
        <v>0</v>
      </c>
      <c r="H81" s="144">
        <f>'Учебный план (очная)'!H105</f>
        <v>0</v>
      </c>
      <c r="I81" s="136"/>
      <c r="J81" s="140"/>
      <c r="K81" s="240">
        <f>'Учебный план (очная)'!K105</f>
        <v>7866</v>
      </c>
      <c r="L81" s="138">
        <f t="shared" si="28"/>
        <v>0</v>
      </c>
      <c r="M81" s="138">
        <f t="shared" si="42"/>
        <v>0</v>
      </c>
      <c r="N81" s="138">
        <f t="shared" si="43"/>
        <v>0</v>
      </c>
      <c r="O81" s="138">
        <f t="shared" si="44"/>
        <v>0</v>
      </c>
      <c r="P81" s="138">
        <f t="shared" si="45"/>
        <v>0</v>
      </c>
      <c r="Q81" s="138">
        <f t="shared" si="46"/>
        <v>0</v>
      </c>
      <c r="R81" s="138" t="e">
        <f t="shared" si="47"/>
        <v>#VALUE!</v>
      </c>
      <c r="S81" s="160" t="e">
        <f>#REF!+AI81+AQ81+AY81+BG81+BO81+BW81+CE81+CM81+CU81</f>
        <v>#REF!</v>
      </c>
      <c r="T81" s="241">
        <f>'Учебный план (заочная)'!M80</f>
        <v>5005</v>
      </c>
      <c r="U81" s="242">
        <f>'Учебный план (заочная)'!D81</f>
        <v>0</v>
      </c>
      <c r="V81" s="242">
        <f>'Учебный план (заочная)'!E81</f>
        <v>0</v>
      </c>
      <c r="W81" s="242">
        <f>'Учебный план (заочная)'!F81</f>
        <v>0</v>
      </c>
      <c r="X81" s="242">
        <f>'Учебный план (заочная)'!G81</f>
        <v>0</v>
      </c>
      <c r="Y81" s="242">
        <f>'Учебный план (заочная)'!H81</f>
        <v>0</v>
      </c>
      <c r="Z81" s="242"/>
      <c r="AA81" s="292" t="str">
        <f>'Учебный план (заочная)'!B80</f>
        <v>ИТОГО часов</v>
      </c>
    </row>
    <row r="82" spans="2:27" x14ac:dyDescent="0.2">
      <c r="B82" s="144" t="str">
        <f>'Учебный план (очная)'!B106</f>
        <v>Количество дисциплин</v>
      </c>
      <c r="C82" s="144">
        <f>'Учебный план (очная)'!C106</f>
        <v>0</v>
      </c>
      <c r="D82" s="144">
        <f>'Учебный план (очная)'!D106</f>
        <v>0</v>
      </c>
      <c r="E82" s="144">
        <f>'Учебный план (очная)'!E106</f>
        <v>0</v>
      </c>
      <c r="F82" s="144">
        <f>'Учебный план (очная)'!F106</f>
        <v>0</v>
      </c>
      <c r="G82" s="144">
        <f>'Учебный план (очная)'!G106</f>
        <v>0</v>
      </c>
      <c r="H82" s="144">
        <f>'Учебный план (очная)'!H106</f>
        <v>0</v>
      </c>
      <c r="I82" s="136"/>
      <c r="J82" s="140"/>
      <c r="K82" s="240">
        <f>'Учебный план (очная)'!K106</f>
        <v>33</v>
      </c>
      <c r="L82" s="138">
        <f t="shared" si="28"/>
        <v>0</v>
      </c>
      <c r="M82" s="138">
        <f t="shared" si="42"/>
        <v>0</v>
      </c>
      <c r="N82" s="138">
        <f t="shared" si="43"/>
        <v>0</v>
      </c>
      <c r="O82" s="138">
        <f t="shared" si="44"/>
        <v>0</v>
      </c>
      <c r="P82" s="138">
        <f t="shared" si="45"/>
        <v>0</v>
      </c>
      <c r="Q82" s="138">
        <f t="shared" si="46"/>
        <v>0</v>
      </c>
      <c r="R82" s="138" t="e">
        <f t="shared" si="47"/>
        <v>#VALUE!</v>
      </c>
      <c r="S82" s="160" t="e">
        <f>#REF!+AI82+AQ82+AY82+BG82+BO82+BW82+CE82+CM82+CU82</f>
        <v>#REF!</v>
      </c>
      <c r="T82" s="241">
        <f>'Учебный план (заочная)'!M81</f>
        <v>34</v>
      </c>
      <c r="U82" s="242">
        <f>'Учебный план (заочная)'!D82</f>
        <v>0</v>
      </c>
      <c r="V82" s="242">
        <f>'Учебный план (заочная)'!E82</f>
        <v>0</v>
      </c>
      <c r="W82" s="242">
        <f>'Учебный план (заочная)'!F82</f>
        <v>0</v>
      </c>
      <c r="X82" s="242">
        <f>'Учебный план (заочная)'!G82</f>
        <v>0</v>
      </c>
      <c r="Y82" s="242">
        <f>'Учебный план (заочная)'!H82</f>
        <v>0</v>
      </c>
      <c r="Z82" s="242"/>
      <c r="AA82" s="292" t="str">
        <f>'Учебный план (заочная)'!B81</f>
        <v>Количество дисциплин</v>
      </c>
    </row>
    <row r="83" spans="2:27" x14ac:dyDescent="0.2">
      <c r="B83" s="144" t="str">
        <f>'Учебный план (очная)'!B107</f>
        <v>Количество практик</v>
      </c>
      <c r="C83" s="144">
        <f>'Учебный план (очная)'!C107</f>
        <v>0</v>
      </c>
      <c r="D83" s="144">
        <f>'Учебный план (очная)'!D107</f>
        <v>0</v>
      </c>
      <c r="E83" s="144">
        <f>'Учебный план (очная)'!E107</f>
        <v>0</v>
      </c>
      <c r="F83" s="144">
        <f>'Учебный план (очная)'!F107</f>
        <v>0</v>
      </c>
      <c r="G83" s="144">
        <f>'Учебный план (очная)'!G107</f>
        <v>0</v>
      </c>
      <c r="H83" s="144">
        <f>'Учебный план (очная)'!H107</f>
        <v>0</v>
      </c>
      <c r="I83" s="136"/>
      <c r="J83" s="140"/>
      <c r="K83" s="240">
        <f>'Учебный план (очная)'!K107</f>
        <v>5</v>
      </c>
      <c r="L83" s="138">
        <f t="shared" si="28"/>
        <v>0</v>
      </c>
      <c r="M83" s="138">
        <f t="shared" si="42"/>
        <v>0</v>
      </c>
      <c r="N83" s="138">
        <f t="shared" si="43"/>
        <v>0</v>
      </c>
      <c r="O83" s="138">
        <f t="shared" si="44"/>
        <v>0</v>
      </c>
      <c r="P83" s="138">
        <f t="shared" si="45"/>
        <v>0</v>
      </c>
      <c r="Q83" s="138">
        <f t="shared" si="46"/>
        <v>0</v>
      </c>
      <c r="R83" s="138" t="e">
        <f t="shared" si="47"/>
        <v>#VALUE!</v>
      </c>
      <c r="S83" s="160" t="e">
        <f>#REF!+AI83+AQ83+AY83+BG83+BO83+BW83+CE83+CM83+CU83</f>
        <v>#REF!</v>
      </c>
      <c r="T83" s="241">
        <f>'Учебный план (заочная)'!M82</f>
        <v>6</v>
      </c>
      <c r="U83" s="242">
        <f>'Учебный план (заочная)'!D83</f>
        <v>0</v>
      </c>
      <c r="V83" s="242">
        <f>'Учебный план (заочная)'!E83</f>
        <v>0</v>
      </c>
      <c r="W83" s="242">
        <f>'Учебный план (заочная)'!F83</f>
        <v>0</v>
      </c>
      <c r="X83" s="242">
        <f>'Учебный план (заочная)'!G83</f>
        <v>0</v>
      </c>
      <c r="Y83" s="242">
        <f>'Учебный план (заочная)'!H83</f>
        <v>0</v>
      </c>
      <c r="Z83" s="242"/>
      <c r="AA83" s="292" t="str">
        <f>'Учебный план (заочная)'!B82</f>
        <v>Количество практик</v>
      </c>
    </row>
    <row r="84" spans="2:27" ht="25.5" x14ac:dyDescent="0.2">
      <c r="B84" s="144" t="str">
        <f>'Учебный план (очная)'!B108</f>
        <v>Количество учебных занятий (часов) в неделю</v>
      </c>
      <c r="C84" s="144">
        <f>'Учебный план (очная)'!C108</f>
        <v>0</v>
      </c>
      <c r="D84" s="144">
        <f>'Учебный план (очная)'!D108</f>
        <v>0</v>
      </c>
      <c r="E84" s="144">
        <f>'Учебный план (очная)'!E108</f>
        <v>0</v>
      </c>
      <c r="F84" s="144">
        <f>'Учебный план (очная)'!F108</f>
        <v>0</v>
      </c>
      <c r="G84" s="144">
        <f>'Учебный план (очная)'!G108</f>
        <v>0</v>
      </c>
      <c r="H84" s="144">
        <f>'Учебный план (очная)'!H108</f>
        <v>0</v>
      </c>
      <c r="I84" s="136"/>
      <c r="J84" s="140"/>
      <c r="K84" s="240">
        <f>'Учебный план (очная)'!K108</f>
        <v>54</v>
      </c>
      <c r="L84" s="138">
        <f t="shared" si="28"/>
        <v>0</v>
      </c>
      <c r="M84" s="138">
        <f t="shared" si="42"/>
        <v>0</v>
      </c>
      <c r="N84" s="138">
        <f t="shared" si="43"/>
        <v>0</v>
      </c>
      <c r="O84" s="138">
        <f t="shared" si="44"/>
        <v>0</v>
      </c>
      <c r="P84" s="138">
        <f t="shared" si="45"/>
        <v>0</v>
      </c>
      <c r="Q84" s="138">
        <f t="shared" si="46"/>
        <v>0</v>
      </c>
      <c r="R84" s="138" t="e">
        <f t="shared" si="47"/>
        <v>#VALUE!</v>
      </c>
      <c r="S84" s="160" t="e">
        <f>#REF!+AI84+AQ84+AY84+BG84+BO84+BW84+CE84+CM84+CU84</f>
        <v>#REF!</v>
      </c>
      <c r="T84" s="241">
        <f>'Учебный план (заочная)'!M83</f>
        <v>29</v>
      </c>
      <c r="U84" s="242">
        <f>'Учебный план (заочная)'!D84</f>
        <v>0</v>
      </c>
      <c r="V84" s="242">
        <f>'Учебный план (заочная)'!E84</f>
        <v>0</v>
      </c>
      <c r="W84" s="242">
        <f>'Учебный план (заочная)'!F84</f>
        <v>0</v>
      </c>
      <c r="X84" s="242">
        <f>'Учебный план (заочная)'!G84</f>
        <v>0</v>
      </c>
      <c r="Y84" s="242">
        <f>'Учебный план (заочная)'!H84</f>
        <v>0</v>
      </c>
      <c r="Z84" s="242"/>
      <c r="AA84" s="292" t="str">
        <f>'Учебный план (заочная)'!B83</f>
        <v>Количество учебных занятий (часов) в неделю</v>
      </c>
    </row>
  </sheetData>
  <sheetProtection password="8B06" sheet="1" objects="1" scenarios="1" selectLockedCells="1" selectUnlockedCells="1"/>
  <mergeCells count="34">
    <mergeCell ref="B20:C20"/>
    <mergeCell ref="B21:C21"/>
    <mergeCell ref="S5:S9"/>
    <mergeCell ref="AA3:AA9"/>
    <mergeCell ref="B1:AA1"/>
    <mergeCell ref="U3:Y4"/>
    <mergeCell ref="U5:U9"/>
    <mergeCell ref="V5:V9"/>
    <mergeCell ref="X5:X9"/>
    <mergeCell ref="Y5:Y9"/>
    <mergeCell ref="M6:M9"/>
    <mergeCell ref="N6:N9"/>
    <mergeCell ref="O6:O9"/>
    <mergeCell ref="P6:P9"/>
    <mergeCell ref="Q6:Q9"/>
    <mergeCell ref="T4:T9"/>
    <mergeCell ref="K3:T3"/>
    <mergeCell ref="B10:C10"/>
    <mergeCell ref="B11:C11"/>
    <mergeCell ref="B16:H16"/>
    <mergeCell ref="G5:G9"/>
    <mergeCell ref="H5:H9"/>
    <mergeCell ref="L5:L9"/>
    <mergeCell ref="M5:Q5"/>
    <mergeCell ref="R5:R9"/>
    <mergeCell ref="K4:K9"/>
    <mergeCell ref="L4:S4"/>
    <mergeCell ref="A3:A9"/>
    <mergeCell ref="B3:B9"/>
    <mergeCell ref="C3:C9"/>
    <mergeCell ref="D3:H4"/>
    <mergeCell ref="I3:J8"/>
    <mergeCell ref="D5:D9"/>
    <mergeCell ref="E5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99"/>
  <sheetViews>
    <sheetView view="pageBreakPreview" zoomScale="90" zoomScaleSheetLayoutView="90" workbookViewId="0">
      <selection activeCell="A15" sqref="A15:C15"/>
    </sheetView>
  </sheetViews>
  <sheetFormatPr defaultColWidth="9.33203125" defaultRowHeight="12.75" x14ac:dyDescent="0.2"/>
  <cols>
    <col min="1" max="1" width="58.1640625" style="92" customWidth="1"/>
    <col min="2" max="3" width="12.6640625" style="92" customWidth="1"/>
    <col min="4" max="4" width="14.6640625" style="92" customWidth="1"/>
    <col min="5" max="5" width="16.1640625" style="92" customWidth="1"/>
    <col min="6" max="6" width="16.33203125" style="92" customWidth="1"/>
    <col min="7" max="7" width="15.5" style="92" customWidth="1"/>
    <col min="8" max="9" width="28.5" style="92" customWidth="1"/>
    <col min="10" max="16384" width="9.33203125" style="92"/>
  </cols>
  <sheetData>
    <row r="1" spans="1:9" s="77" customFormat="1" x14ac:dyDescent="0.2">
      <c r="A1" s="919" t="s">
        <v>97</v>
      </c>
      <c r="B1" s="919"/>
      <c r="C1" s="919"/>
      <c r="D1" s="919"/>
      <c r="E1" s="919"/>
      <c r="F1" s="919"/>
      <c r="G1" s="919"/>
      <c r="H1" s="919"/>
      <c r="I1" s="919"/>
    </row>
    <row r="2" spans="1:9" s="77" customFormat="1" ht="24.75" customHeight="1" x14ac:dyDescent="0.2">
      <c r="A2" s="923" t="s">
        <v>92</v>
      </c>
      <c r="B2" s="924"/>
      <c r="C2" s="925"/>
      <c r="D2" s="916" t="s">
        <v>96</v>
      </c>
      <c r="E2" s="918"/>
      <c r="F2" s="920" t="s">
        <v>98</v>
      </c>
      <c r="G2" s="920"/>
      <c r="H2" s="921" t="s">
        <v>137</v>
      </c>
      <c r="I2" s="922"/>
    </row>
    <row r="3" spans="1:9" s="77" customFormat="1" ht="76.5" x14ac:dyDescent="0.2">
      <c r="A3" s="926"/>
      <c r="B3" s="927"/>
      <c r="C3" s="928"/>
      <c r="D3" s="18" t="s">
        <v>164</v>
      </c>
      <c r="E3" s="18" t="s">
        <v>229</v>
      </c>
      <c r="F3" s="18" t="s">
        <v>164</v>
      </c>
      <c r="G3" s="18" t="s">
        <v>229</v>
      </c>
      <c r="H3" s="18" t="s">
        <v>164</v>
      </c>
      <c r="I3" s="18" t="s">
        <v>229</v>
      </c>
    </row>
    <row r="4" spans="1:9" s="77" customFormat="1" x14ac:dyDescent="0.2">
      <c r="A4" s="48"/>
      <c r="B4" s="15"/>
      <c r="C4" s="15"/>
      <c r="D4" s="15"/>
      <c r="E4" s="15"/>
      <c r="F4" s="15"/>
      <c r="G4" s="15"/>
      <c r="H4" s="15"/>
      <c r="I4" s="16"/>
    </row>
    <row r="5" spans="1:9" s="77" customFormat="1" ht="15.75" x14ac:dyDescent="0.2">
      <c r="A5" s="929" t="s">
        <v>391</v>
      </c>
      <c r="B5" s="930"/>
      <c r="C5" s="930"/>
      <c r="D5" s="930"/>
      <c r="E5" s="17"/>
      <c r="F5" s="17"/>
      <c r="G5" s="17"/>
      <c r="H5" s="19"/>
      <c r="I5" s="20"/>
    </row>
    <row r="6" spans="1:9" s="77" customFormat="1" x14ac:dyDescent="0.2">
      <c r="A6" s="894" t="s">
        <v>507</v>
      </c>
      <c r="B6" s="895"/>
      <c r="C6" s="896"/>
      <c r="D6" s="78">
        <f>G34*G38</f>
        <v>2106</v>
      </c>
      <c r="E6" s="39">
        <v>1404</v>
      </c>
      <c r="F6" s="34">
        <f>'Учебный план (очная)'!K11</f>
        <v>2106</v>
      </c>
      <c r="G6" s="34">
        <f>'Учебный план (очная)'!L11</f>
        <v>1404</v>
      </c>
      <c r="H6" s="36" t="str">
        <f>IF(OR(D6="",E6=""),"введите данные ФГОС",IF('Учебный план (очная)'!K101=0,"заполняйте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 (очная)'!K101=0,"заполняйте учебный план",IF(OR(E6="-",E6=G6),"норма",IF(G6&lt;E6,G6-E6,IF(G6&gt;E6,G6-E6,"норма")))))</f>
        <v>норма</v>
      </c>
    </row>
    <row r="7" spans="1:9" s="77" customFormat="1" x14ac:dyDescent="0.2">
      <c r="A7" s="894" t="s">
        <v>508</v>
      </c>
      <c r="B7" s="895"/>
      <c r="C7" s="896"/>
      <c r="D7" s="78" t="s">
        <v>22</v>
      </c>
      <c r="E7" s="173" t="s">
        <v>22</v>
      </c>
      <c r="F7" s="34">
        <f>'Учебный план (очная)'!K12</f>
        <v>1380</v>
      </c>
      <c r="G7" s="34">
        <f>'Учебный план (очная)'!L12</f>
        <v>920</v>
      </c>
      <c r="H7" s="36" t="str">
        <f>IF(OR(D7="",E7=""),"введите данные ФГОС",IF('Учебный план (очная)'!K101=0,"заполняйте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 (очная)'!K101=0,"заполняйте учебный план",IF(OR(E7="-",E7=G7),"норма",IF(G7&lt;E7,G7-E7,IF(G7&gt;E7,G7-E7,"норма")))))</f>
        <v>норма</v>
      </c>
    </row>
    <row r="8" spans="1:9" s="77" customFormat="1" x14ac:dyDescent="0.2">
      <c r="A8" s="894" t="s">
        <v>509</v>
      </c>
      <c r="B8" s="895"/>
      <c r="C8" s="896"/>
      <c r="D8" s="78" t="s">
        <v>22</v>
      </c>
      <c r="E8" s="173" t="s">
        <v>22</v>
      </c>
      <c r="F8" s="34">
        <f>'Учебный план (очная)'!K25</f>
        <v>384</v>
      </c>
      <c r="G8" s="34">
        <f>'Учебный план (очная)'!L25</f>
        <v>256</v>
      </c>
      <c r="H8" s="36" t="str">
        <f>IF(OR(D8="",E8=""),"введите данные ФГОС",IF('Учебный план (очная)'!K101=0,"заполняйте учебный план",IF(OR(D8="-",D8=F8),"норма",IF(F8&lt;D8,F8-D8,IF(F8&gt;D8,F8-D8,"норма")))))</f>
        <v>норма</v>
      </c>
      <c r="I8" s="36" t="str">
        <f>IF(OR(D8="",E8=""),"введите данные ФГОС",IF('Учебный план (очная)'!K101=0,"заполняйте учебный план",IF(OR(E8="-",E8=G8),"норма",IF(G8&lt;E8,G8-E8,IF(G8&gt;E8,G8-E8,"норма")))))</f>
        <v>норма</v>
      </c>
    </row>
    <row r="9" spans="1:9" s="77" customFormat="1" x14ac:dyDescent="0.2">
      <c r="A9" s="894" t="s">
        <v>344</v>
      </c>
      <c r="B9" s="895"/>
      <c r="C9" s="896"/>
      <c r="D9" s="39">
        <v>2970</v>
      </c>
      <c r="E9" s="39">
        <v>1980</v>
      </c>
      <c r="F9" s="34">
        <f>'Учебный план (очная)'!K28</f>
        <v>3154</v>
      </c>
      <c r="G9" s="34">
        <f>'Учебный план (очная)'!L28</f>
        <v>2103</v>
      </c>
      <c r="H9" s="36">
        <f>IF(OR(D9="",E9=""),"введите данные ФГОС",IF('Учебный план (очная)'!K101=0,"заполняйте учебный план",IF(OR(D9="-",D9=F9),"норма",IF(F9&lt;D9,F9-D9,IF(F9&gt;D9,F9-D9,"норма")))))</f>
        <v>184</v>
      </c>
      <c r="I9" s="36">
        <f>IF(OR(D9="",E9=""),"введите данные ФГОС",IF('Учебный план (очная)'!K101=0,"заполняйте учебный план",IF(OR(E9="-",E9=G9),"норма",IF(G9&lt;E9,G9-E9,IF(G9&gt;E9,G9-E9,"норма")))))</f>
        <v>123</v>
      </c>
    </row>
    <row r="10" spans="1:9" s="77" customFormat="1" x14ac:dyDescent="0.2">
      <c r="A10" s="897" t="s">
        <v>158</v>
      </c>
      <c r="B10" s="895"/>
      <c r="C10" s="896"/>
      <c r="D10" s="39">
        <v>612</v>
      </c>
      <c r="E10" s="39">
        <v>408</v>
      </c>
      <c r="F10" s="34">
        <f>'Учебный план (очная)'!K29</f>
        <v>612</v>
      </c>
      <c r="G10" s="34">
        <f>'Учебный план (очная)'!L29</f>
        <v>408</v>
      </c>
      <c r="H10" s="36" t="str">
        <f>IF(OR(D10="",E10=""),"введите данные ФГОС",IF('Учебный план (очная)'!K101=0,"заполняйте учебный план",IF(OR(D10="-",D10=F10),"норма",IF(F10&lt;D10,F10-D10,IF(F10&gt;D10,F10-D10,"норма")))))</f>
        <v>норма</v>
      </c>
      <c r="I10" s="36" t="str">
        <f>IF(OR(D10="",E10=""),"введите данные ФГОС",IF('Учебный план (очная)'!K101=0,"заполняйте учебный план",IF(OR(E10="-",E10=G10),"норма",IF(G10&lt;E10,G10-E10,IF(G10&gt;E10,G10-E10,"норма")))))</f>
        <v>норма</v>
      </c>
    </row>
    <row r="11" spans="1:9" s="77" customFormat="1" x14ac:dyDescent="0.2">
      <c r="A11" s="894" t="s">
        <v>244</v>
      </c>
      <c r="B11" s="895"/>
      <c r="C11" s="896"/>
      <c r="D11" s="39">
        <v>162</v>
      </c>
      <c r="E11" s="39">
        <v>108</v>
      </c>
      <c r="F11" s="34">
        <f>'Учебный план (очная)'!K34</f>
        <v>162</v>
      </c>
      <c r="G11" s="34">
        <f>'Учебный план (очная)'!L34</f>
        <v>108</v>
      </c>
      <c r="H11" s="36" t="str">
        <f>IF(OR(D11="",E11=""),"введите данные ФГОС",IF('Учебный план (очная)'!K101=0,"заполняйте учебный план",IF(OR(D11="-",D11=F11),"норма",IF(F11&lt;D11,F11-D11,IF(F11&gt;D11,F11-D11,"норма")))))</f>
        <v>норма</v>
      </c>
      <c r="I11" s="36" t="str">
        <f>IF(OR(D11="",E11=""),"введите данные ФГОС",IF('Учебный план (очная)'!K101=0,"заполняйте учебный план",IF(OR(E11="-",E11=G11),"норма",IF(G11&lt;E11,G11-E11,IF(G11&gt;E11,G11-E11,"норма")))))</f>
        <v>норма</v>
      </c>
    </row>
    <row r="12" spans="1:9" s="77" customFormat="1" x14ac:dyDescent="0.2">
      <c r="A12" s="897" t="s">
        <v>71</v>
      </c>
      <c r="B12" s="895"/>
      <c r="C12" s="896"/>
      <c r="D12" s="39">
        <v>2196</v>
      </c>
      <c r="E12" s="39">
        <v>1464</v>
      </c>
      <c r="F12" s="34">
        <f>'Учебный план (очная)'!K38</f>
        <v>2380</v>
      </c>
      <c r="G12" s="34">
        <f>'Учебный план (очная)'!L38</f>
        <v>1587</v>
      </c>
      <c r="H12" s="36">
        <f>IF(OR(D12="",E12=""),"введите данные ФГОС",IF('Учебный план (очная)'!K101=0,"заполняйте учебный план",IF(OR(D12="-",D12=F12),"норма",IF(F12&lt;D12,F12-D12,IF(F12&gt;D12,F12-D12,"норма")))))</f>
        <v>184</v>
      </c>
      <c r="I12" s="36">
        <f>IF(OR(D12="",E12=""),"введите данные ФГОС",IF('Учебный план (очная)'!K101=0,"заполняйте учебный план",IF(OR(E12="-",E12=G12),"норма",IF(G12&lt;E12,G12-E12,IF(G12&gt;E12,G12-E12,"норма")))))</f>
        <v>123</v>
      </c>
    </row>
    <row r="13" spans="1:9" s="77" customFormat="1" x14ac:dyDescent="0.2">
      <c r="A13" s="894" t="s">
        <v>175</v>
      </c>
      <c r="B13" s="895"/>
      <c r="C13" s="896"/>
      <c r="D13" s="39">
        <v>804</v>
      </c>
      <c r="E13" s="39">
        <v>536</v>
      </c>
      <c r="F13" s="34">
        <f>'Учебный план (очная)'!K39</f>
        <v>804</v>
      </c>
      <c r="G13" s="34">
        <f>'Учебный план (очная)'!L39</f>
        <v>536</v>
      </c>
      <c r="H13" s="36" t="str">
        <f>IF(OR(D13="",E13=""),"введите данные ФГОС",IF('Учебный план (очная)'!K101=0,"заполняйте учебный план",IF(OR(D13="-",D13=F13),"норма",IF(F13&lt;D13,F13-D13,IF(F13&gt;D13,F13-D13,"норма")))))</f>
        <v>норма</v>
      </c>
      <c r="I13" s="36" t="str">
        <f>IF(OR(D13="",E13=""),"введите данные ФГОС",IF('Учебный план (очная)'!K101=0,"заполняйте учебный план",IF(OR(E13="-",E13=G13),"норма",IF(G13&lt;E13,G13-E13,IF(G13&gt;E13,G13-E13,"норма")))))</f>
        <v>норма</v>
      </c>
    </row>
    <row r="14" spans="1:9" s="77" customFormat="1" x14ac:dyDescent="0.2">
      <c r="A14" s="894" t="s">
        <v>173</v>
      </c>
      <c r="B14" s="895"/>
      <c r="C14" s="896"/>
      <c r="D14" s="39">
        <v>1392</v>
      </c>
      <c r="E14" s="39">
        <v>928</v>
      </c>
      <c r="F14" s="34">
        <f>'Учебный план (очная)'!K47</f>
        <v>1576</v>
      </c>
      <c r="G14" s="34">
        <f>'Учебный план (очная)'!L47</f>
        <v>1051</v>
      </c>
      <c r="H14" s="36">
        <f>IF(OR(D14="",E14=""),"введите данные ФГОС",IF('Учебный план (очная)'!K101=0,"заполняйте учебный план",IF(OR(D14="-",D14=F14),"норма",IF(F14&lt;D14,F14-D14,IF(F14&gt;D14,F14-D14,"норма")))))</f>
        <v>184</v>
      </c>
      <c r="I14" s="36">
        <f>IF(OR(D14="",E14=""),"введите данные ФГОС",IF('Учебный план (очная)'!K101=0,"заполняйте учебный план",IF(OR(E14="-",E14=G14),"норма",IF(G14&lt;E14,G14-E14,IF(G14&gt;E14,G14-E14,"норма")))))</f>
        <v>123</v>
      </c>
    </row>
    <row r="15" spans="1:9" s="77" customFormat="1" x14ac:dyDescent="0.2">
      <c r="A15" s="894" t="s">
        <v>345</v>
      </c>
      <c r="B15" s="895"/>
      <c r="C15" s="896"/>
      <c r="D15" s="39">
        <v>702</v>
      </c>
      <c r="E15" s="39">
        <v>468</v>
      </c>
      <c r="F15" s="34">
        <f>'Учебный план (очная)'!K76</f>
        <v>518</v>
      </c>
      <c r="G15" s="34">
        <f>'Учебный план (очная)'!L76</f>
        <v>345</v>
      </c>
      <c r="H15" s="36">
        <f>IF(OR(D15="",E15=""),"введите данные ФГОС",IF('Учебный план (очная)'!K101=0,"заполняйте учебный план",IF(OR(D15="-",D15=F15),"норма",IF(F15&lt;D15,F15-D15,IF(F15&gt;D15,F15-D15,"норма")))))</f>
        <v>-184</v>
      </c>
      <c r="I15" s="36">
        <f>IF(OR(D15="",E15=""),"введите данные ФГОС",IF('Учебный план (очная)'!K101=0,"заполняйте учебный план",IF(OR(E15="-",E15=G15),"норма",IF(G15&lt;E15,G15-E15,IF(G15&gt;E15,G15-E15,"норма")))))</f>
        <v>-123</v>
      </c>
    </row>
    <row r="16" spans="1:9" s="77" customFormat="1" x14ac:dyDescent="0.2">
      <c r="A16" s="894" t="s">
        <v>346</v>
      </c>
      <c r="B16" s="895"/>
      <c r="C16" s="896"/>
      <c r="D16" s="39">
        <v>3672</v>
      </c>
      <c r="E16" s="39">
        <v>2448</v>
      </c>
      <c r="F16" s="34">
        <f>F9+F15</f>
        <v>3672</v>
      </c>
      <c r="G16" s="34">
        <f>G9+G15</f>
        <v>2448</v>
      </c>
      <c r="H16" s="36" t="str">
        <f>IF(OR(D16="",E16=""),"введите данные ФГОС",IF('Учебный план (очная)'!K101=0,"заполняйте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 (очная)'!K101=0,"заполняйте учебный план",IF(OR(E16="-",E16=G16),"норма",IF(G16&lt;E16,G16-E16,IF(G16&gt;E16,G16-E16,"норма")))))</f>
        <v>норма</v>
      </c>
    </row>
    <row r="17" spans="1:17" s="77" customFormat="1" hidden="1" x14ac:dyDescent="0.2">
      <c r="A17" s="897" t="s">
        <v>243</v>
      </c>
      <c r="B17" s="895"/>
      <c r="C17" s="896"/>
      <c r="D17" s="78">
        <v>2808</v>
      </c>
      <c r="E17" s="39">
        <f>SUM(E18:E19)</f>
        <v>1872</v>
      </c>
      <c r="F17" s="34">
        <f>'Учебный план (очная)'!K83+'Учебный план (очная)'!K91</f>
        <v>1872</v>
      </c>
      <c r="G17" s="34">
        <f>SUM(G18:G19)</f>
        <v>1872</v>
      </c>
      <c r="H17" s="36">
        <f>IF(OR(D17="",E17=""),"введите данные ФГОС",IF('Учебный план (очная)'!K101=0,"заполняйте учебный план",IF(OR(D17="-",D17=F17),"норма",IF(F17&lt;D17,F17-D17,IF(F17&gt;D17,F17-D17,"норма")))))</f>
        <v>-936</v>
      </c>
      <c r="I17" s="36" t="str">
        <f>IF(OR(D17="",E17=""),"введите данные ФГОС",IF('Учебный план (очная)'!K101=0,"заполняйте учебный план",IF(OR(E17="-",E17=G17),"норма",IF(G17&lt;E17,G17-E17,IF(G17&gt;E17,G17-E17,"норма")))))</f>
        <v>норма</v>
      </c>
    </row>
    <row r="18" spans="1:17" s="77" customFormat="1" hidden="1" x14ac:dyDescent="0.2">
      <c r="A18" s="897" t="s">
        <v>6</v>
      </c>
      <c r="B18" s="895"/>
      <c r="C18" s="896"/>
      <c r="D18" s="78">
        <v>576</v>
      </c>
      <c r="E18" s="78">
        <v>576</v>
      </c>
      <c r="F18" s="34">
        <f>'Учебный план (очная)'!K83</f>
        <v>576</v>
      </c>
      <c r="G18" s="34">
        <v>576</v>
      </c>
      <c r="H18" s="36" t="str">
        <f>IF(OR(D18="",E18=""),"введите данные ФГОС",IF('Учебный план (очная)'!K101=0,"заполняйте учебный план",IF(OR(D18="-",D18=F18),"норма",IF(F18&lt;D18,F18-D18,IF(F18&gt;D18,F18-D18,"норма")))))</f>
        <v>норма</v>
      </c>
      <c r="I18" s="36" t="str">
        <f>IF(OR(D18="",E18=""),"введите данные ФГОС",IF('Учебный план (очная)'!K101=0,"заполняйте учебный план",IF(OR(E18="-",E18=G18),"норма",IF(G18&lt;E18,G18-E18,IF(G18&gt;E18,G18-E18,"норма")))))</f>
        <v>норма</v>
      </c>
    </row>
    <row r="19" spans="1:17" s="77" customFormat="1" hidden="1" x14ac:dyDescent="0.2">
      <c r="A19" s="897" t="s">
        <v>130</v>
      </c>
      <c r="B19" s="895"/>
      <c r="C19" s="896"/>
      <c r="D19" s="78">
        <v>1296</v>
      </c>
      <c r="E19" s="78">
        <v>1296</v>
      </c>
      <c r="F19" s="34">
        <f>'Учебный план (очная)'!K91</f>
        <v>1296</v>
      </c>
      <c r="G19" s="34">
        <v>1296</v>
      </c>
      <c r="H19" s="36" t="str">
        <f>IF(OR(D19="",E19=""),"введите данные ФГОС",IF('Учебный план (очная)'!K101=0,"заполняйте учебный план",IF(OR(D19="-",D19=F19),"норма",IF(F19&lt;D19,F19-D19,IF(F19&gt;D19,F19-D19,"норма")))))</f>
        <v>норма</v>
      </c>
      <c r="I19" s="36" t="str">
        <f>IF(OR(D19="",E19=""),"введите данные ФГОС",IF('Учебный план (очная)'!K101=0,"заполняйте учебный план",IF(OR(E19="-",E19=G19),"норма",IF(G19&lt;E19,G19-E19,IF(G19&gt;E19,G19-E19,"норма")))))</f>
        <v>норма</v>
      </c>
    </row>
    <row r="20" spans="1:17" s="77" customFormat="1" hidden="1" x14ac:dyDescent="0.2">
      <c r="A20" s="894" t="s">
        <v>536</v>
      </c>
      <c r="B20" s="895"/>
      <c r="C20" s="896"/>
      <c r="D20" s="78">
        <v>216</v>
      </c>
      <c r="E20" s="78">
        <v>144</v>
      </c>
      <c r="F20" s="34">
        <f>'Учебный план (очная)'!K94</f>
        <v>216</v>
      </c>
      <c r="G20" s="34">
        <f>'Учебный план (очная)'!L94</f>
        <v>0</v>
      </c>
      <c r="H20" s="36" t="str">
        <f>IF(OR(D20="",E20=""),"введите данные ФГОС",IF('Учебный план (очная)'!K101=0,"заполняйте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 (очная)'!K101=0,"заполняйте учебный план",IF(OR(E20="-",E20=G20),"норма",IF(G20&lt;E20,G20-E20,IF(G20&gt;E20,G20-E20,"норма")))))</f>
        <v>-144</v>
      </c>
    </row>
    <row r="21" spans="1:17" s="77" customFormat="1" hidden="1" x14ac:dyDescent="0.2">
      <c r="A21" s="897" t="s">
        <v>174</v>
      </c>
      <c r="B21" s="895"/>
      <c r="C21" s="896"/>
      <c r="D21" s="78">
        <v>0</v>
      </c>
      <c r="E21" s="78" t="s">
        <v>22</v>
      </c>
      <c r="F21" s="34">
        <f>'Учебный план (очная)'!K97</f>
        <v>0</v>
      </c>
      <c r="G21" s="34">
        <f>'Учебный план (очная)'!L97</f>
        <v>0</v>
      </c>
      <c r="H21" s="36" t="str">
        <f>IF(OR(D21="",E21=""),"введите данные ФГОС",IF('Учебный план (очная)'!K101=0,"заполняйте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 (очная)'!K101=0,"заполняйте учебный план",IF(OR(E21="-",E21=G21),"норма",IF(G21&lt;E21,G21-E21,IF(G21&gt;E21,G21-E21,"норма")))))</f>
        <v>норма</v>
      </c>
      <c r="Q21" s="77" t="s">
        <v>26</v>
      </c>
    </row>
    <row r="22" spans="1:17" s="77" customFormat="1" hidden="1" x14ac:dyDescent="0.2">
      <c r="A22" s="898" t="s">
        <v>90</v>
      </c>
      <c r="B22" s="899"/>
      <c r="C22" s="900"/>
      <c r="D22" s="35">
        <f>D6+D9+D15+D17+D20</f>
        <v>8802</v>
      </c>
      <c r="E22" s="35">
        <f>E6+E9+E15+SUM(E18:E20)</f>
        <v>5868</v>
      </c>
      <c r="F22" s="35">
        <f>F6+F9+F15+F17+F20</f>
        <v>7866</v>
      </c>
      <c r="G22" s="35">
        <f>G6+G9+G15+G17+G20</f>
        <v>5724</v>
      </c>
      <c r="H22" s="36">
        <f>IF(OR(D22="",E22=""),"введите данные ФГОС",IF('Учебный план (очная)'!K101=0,"заполняйте учебный план",IF(OR(D22="-",D22=F22),"норма",IF(F22&lt;D22,F22-D22,IF(F22&gt;D22,F22-D22,"норма")))))</f>
        <v>-936</v>
      </c>
      <c r="I22" s="36">
        <f>IF(OR(D22="",E22=""),"введите данные ФГОС",IF('Учебный план (очная)'!K101=0,"заполняйте учебный план",IF(OR(E22="-",E22=G22),"норма",IF(G22&lt;E22,G22-E22,IF(G22&gt;E22,G22-E22,"норма")))))</f>
        <v>-144</v>
      </c>
    </row>
    <row r="23" spans="1:17" s="77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7" s="77" customFormat="1" x14ac:dyDescent="0.2">
      <c r="A24" s="909" t="s">
        <v>91</v>
      </c>
      <c r="B24" s="909"/>
      <c r="C24" s="909"/>
      <c r="D24" s="909"/>
      <c r="E24" s="909"/>
      <c r="F24" s="909"/>
      <c r="G24" s="909"/>
      <c r="H24" s="909"/>
      <c r="I24" s="909"/>
      <c r="M24" s="77" t="s">
        <v>26</v>
      </c>
    </row>
    <row r="25" spans="1:17" s="77" customFormat="1" ht="78" customHeight="1" x14ac:dyDescent="0.2">
      <c r="A25" s="916" t="s">
        <v>105</v>
      </c>
      <c r="B25" s="917"/>
      <c r="C25" s="917"/>
      <c r="D25" s="917"/>
      <c r="E25" s="918"/>
      <c r="F25" s="107" t="s">
        <v>316</v>
      </c>
      <c r="G25" s="107" t="s">
        <v>315</v>
      </c>
      <c r="H25" s="18" t="s">
        <v>106</v>
      </c>
      <c r="I25" s="18" t="s">
        <v>107</v>
      </c>
    </row>
    <row r="26" spans="1:17" s="77" customFormat="1" x14ac:dyDescent="0.2">
      <c r="A26" s="901"/>
      <c r="B26" s="902"/>
      <c r="C26" s="902"/>
      <c r="D26" s="902"/>
      <c r="E26" s="903"/>
      <c r="F26" s="49"/>
      <c r="G26" s="79"/>
      <c r="H26" s="50"/>
      <c r="I26" s="51"/>
    </row>
    <row r="27" spans="1:17" s="77" customFormat="1" x14ac:dyDescent="0.2">
      <c r="A27" s="904" t="s">
        <v>347</v>
      </c>
      <c r="B27" s="905"/>
      <c r="C27" s="905"/>
      <c r="D27" s="905"/>
      <c r="E27" s="906"/>
      <c r="F27" s="37">
        <v>147</v>
      </c>
      <c r="G27" s="47">
        <v>147</v>
      </c>
      <c r="H27" s="37">
        <f>IF(G27="","введите данные ФГОС",IF(F27="","введите рекомендации УМУ",IF('Титульный лист (очная)'!BN29=0,"заполняйте титульный лист",SUM('Титульный лист (очная)'!BN25:BN28))))</f>
        <v>147</v>
      </c>
      <c r="I27" s="52" t="str">
        <f t="shared" ref="I27:I36" si="0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17" s="77" customFormat="1" x14ac:dyDescent="0.2">
      <c r="A28" s="907" t="s">
        <v>231</v>
      </c>
      <c r="B28" s="905"/>
      <c r="C28" s="905"/>
      <c r="D28" s="905"/>
      <c r="E28" s="906"/>
      <c r="F28" s="37">
        <v>68</v>
      </c>
      <c r="G28" s="47">
        <v>68</v>
      </c>
      <c r="H28" s="37">
        <f>IF(G28="","введите данные ФГОС",IF(F28="","введите рекомендации УМУ",IF('Титульный лист (очная)'!BN29=0,"заполняйте титульный лист",SUM('Титульный лист (очная)'!BD25:BD28))))</f>
        <v>68</v>
      </c>
      <c r="I28" s="52" t="str">
        <f t="shared" si="0"/>
        <v>норма</v>
      </c>
    </row>
    <row r="29" spans="1:17" s="77" customFormat="1" x14ac:dyDescent="0.2">
      <c r="A29" s="907" t="s">
        <v>232</v>
      </c>
      <c r="B29" s="905"/>
      <c r="C29" s="905"/>
      <c r="D29" s="905"/>
      <c r="E29" s="906"/>
      <c r="F29" s="37">
        <v>52</v>
      </c>
      <c r="G29" s="47">
        <v>52</v>
      </c>
      <c r="H29" s="37">
        <f>IF(G29="","введите данные ФГОС",IF(F29="","введите рекомендации УМУ",IF('Титульный лист (очная)'!BN29=0,"заполняйте титульный лист",SUM('Титульный лист (очная)'!BH24:BI28))))</f>
        <v>52</v>
      </c>
      <c r="I29" s="52" t="str">
        <f t="shared" si="0"/>
        <v>норма</v>
      </c>
    </row>
    <row r="30" spans="1:17" s="77" customFormat="1" x14ac:dyDescent="0.2">
      <c r="A30" s="907" t="s">
        <v>233</v>
      </c>
      <c r="B30" s="905"/>
      <c r="C30" s="905"/>
      <c r="D30" s="905"/>
      <c r="E30" s="906"/>
      <c r="F30" s="37">
        <v>5</v>
      </c>
      <c r="G30" s="47">
        <v>5</v>
      </c>
      <c r="H30" s="37">
        <f>IF(G30="","введите данные ФГОС",IF(F30="","введите рекомендации УМУ",IF('Титульный лист (очная)'!BN29=0,"заполняйте титульный лист",SUM('Титульный лист (очная)'!BG25:BG28))))</f>
        <v>5</v>
      </c>
      <c r="I30" s="52" t="str">
        <f t="shared" si="0"/>
        <v>норма</v>
      </c>
    </row>
    <row r="31" spans="1:17" s="77" customFormat="1" x14ac:dyDescent="0.2">
      <c r="A31" s="904" t="s">
        <v>561</v>
      </c>
      <c r="B31" s="905"/>
      <c r="C31" s="905"/>
      <c r="D31" s="905"/>
      <c r="E31" s="906"/>
      <c r="F31" s="37">
        <v>4</v>
      </c>
      <c r="G31" s="47">
        <v>4</v>
      </c>
      <c r="H31" s="37">
        <f>IF(G31="","введите данные ФГОС",IF(F31="","введите рекомендации УМУ",IF('Титульный лист (очная)'!BN29=0,"заполняйте титульный лист",SUM('Титульный лист (очная)'!BJ24:BL28))))</f>
        <v>4</v>
      </c>
      <c r="I31" s="52" t="str">
        <f t="shared" si="0"/>
        <v>норма</v>
      </c>
    </row>
    <row r="32" spans="1:17" s="77" customFormat="1" x14ac:dyDescent="0.2">
      <c r="A32" s="907" t="s">
        <v>234</v>
      </c>
      <c r="B32" s="905"/>
      <c r="C32" s="905"/>
      <c r="D32" s="905"/>
      <c r="E32" s="906"/>
      <c r="F32" s="37">
        <v>18</v>
      </c>
      <c r="G32" s="47">
        <v>18</v>
      </c>
      <c r="H32" s="37">
        <f>IF(G32="","введите данные ФГОС",IF(F32="","введите рекомендации УМУ",IF('Титульный лист (очная)'!BN29=0,"заполняйте титульный лист",SUM('Титульный лист (очная)'!BM25:BM28))))</f>
        <v>18</v>
      </c>
      <c r="I32" s="52" t="str">
        <f t="shared" si="0"/>
        <v>норма</v>
      </c>
    </row>
    <row r="33" spans="1:9" s="77" customFormat="1" x14ac:dyDescent="0.2">
      <c r="A33" s="904" t="s">
        <v>348</v>
      </c>
      <c r="B33" s="905"/>
      <c r="C33" s="905"/>
      <c r="D33" s="905"/>
      <c r="E33" s="906"/>
      <c r="F33" s="37">
        <v>52</v>
      </c>
      <c r="G33" s="47">
        <v>52</v>
      </c>
      <c r="H33" s="37">
        <f>IF(G33="","введите данные ФГОС",IF(F33="","введите рекомендации УМУ",IF('Титульный лист (очная)'!BN29=0,"заполняйте титульный лист",'Титульный лист (очная)'!BN24)))</f>
        <v>52</v>
      </c>
      <c r="I33" s="52" t="str">
        <f t="shared" si="0"/>
        <v>норма</v>
      </c>
    </row>
    <row r="34" spans="1:9" s="77" customFormat="1" x14ac:dyDescent="0.2">
      <c r="A34" s="904" t="s">
        <v>349</v>
      </c>
      <c r="B34" s="905"/>
      <c r="C34" s="905"/>
      <c r="D34" s="905"/>
      <c r="E34" s="906"/>
      <c r="F34" s="37">
        <v>39</v>
      </c>
      <c r="G34" s="47">
        <v>39</v>
      </c>
      <c r="H34" s="37">
        <f>IF(G34="","введите данные ФГОС",IF(F34="","введите рекомендации УМУ",IF('Титульный лист (очная)'!BN29=0,"заполняйте титульный лист",'Титульный лист (очная)'!BD24)))</f>
        <v>39</v>
      </c>
      <c r="I34" s="52" t="str">
        <f t="shared" si="0"/>
        <v>норма</v>
      </c>
    </row>
    <row r="35" spans="1:9" s="77" customFormat="1" x14ac:dyDescent="0.2">
      <c r="A35" s="904" t="s">
        <v>350</v>
      </c>
      <c r="B35" s="905"/>
      <c r="C35" s="905"/>
      <c r="D35" s="905"/>
      <c r="E35" s="906"/>
      <c r="F35" s="37">
        <v>2</v>
      </c>
      <c r="G35" s="47">
        <v>2</v>
      </c>
      <c r="H35" s="37">
        <f>IF(G35="","введите данные ФГОС",IF(F35="","введите рекомендации УМУ",IF('Титульный лист (очная)'!BN29=0,"заполняйте титульный лист",'Титульный лист (очная)'!BG24)))</f>
        <v>2</v>
      </c>
      <c r="I35" s="52" t="str">
        <f t="shared" si="0"/>
        <v>норма</v>
      </c>
    </row>
    <row r="36" spans="1:9" s="77" customFormat="1" x14ac:dyDescent="0.2">
      <c r="A36" s="904" t="s">
        <v>351</v>
      </c>
      <c r="B36" s="905"/>
      <c r="C36" s="905"/>
      <c r="D36" s="905"/>
      <c r="E36" s="906"/>
      <c r="F36" s="37">
        <v>11</v>
      </c>
      <c r="G36" s="47">
        <v>11</v>
      </c>
      <c r="H36" s="37">
        <f>IF(G36="","введите данные ФГОС",IF(F36="","введите рекомендации УМУ",IF('Титульный лист (очная)'!BN29=0,"заполняйте титульный лист",'Титульный лист (очная)'!BM24)))</f>
        <v>11</v>
      </c>
      <c r="I36" s="52" t="str">
        <f t="shared" si="0"/>
        <v>норма</v>
      </c>
    </row>
    <row r="37" spans="1:9" s="77" customFormat="1" x14ac:dyDescent="0.2">
      <c r="A37" s="901"/>
      <c r="B37" s="902"/>
      <c r="C37" s="902"/>
      <c r="D37" s="902"/>
      <c r="E37" s="903"/>
      <c r="F37" s="49"/>
      <c r="G37" s="79"/>
      <c r="H37" s="49"/>
      <c r="I37" s="51"/>
    </row>
    <row r="38" spans="1:9" s="77" customFormat="1" x14ac:dyDescent="0.2">
      <c r="A38" s="907" t="s">
        <v>235</v>
      </c>
      <c r="B38" s="905"/>
      <c r="C38" s="905"/>
      <c r="D38" s="905"/>
      <c r="E38" s="906"/>
      <c r="F38" s="33">
        <v>54</v>
      </c>
      <c r="G38" s="45">
        <v>54</v>
      </c>
      <c r="H38" s="33">
        <f>IF(G38="","введите данные ФГОС",IF(F38="","введите рекомендации УМУ",IF('Учебный план (очная)'!K101=0,"заполняйте учебный план",'Учебный план (очная)'!K108)))</f>
        <v>54</v>
      </c>
      <c r="I38" s="5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77" customFormat="1" ht="12.75" customHeight="1" x14ac:dyDescent="0.2">
      <c r="A39" s="907" t="s">
        <v>236</v>
      </c>
      <c r="B39" s="905"/>
      <c r="C39" s="905"/>
      <c r="D39" s="905"/>
      <c r="E39" s="906"/>
      <c r="F39" s="33">
        <v>36</v>
      </c>
      <c r="G39" s="45">
        <v>36</v>
      </c>
      <c r="H39" s="33">
        <f>IF(G39="","введите данные ФГОС",IF(F39="","введите рекомендации УМУ",IF('Учебный план (очная)'!K101=0,"заполняйте учебный план",'Учебный план (очная)'!K109)))</f>
        <v>36</v>
      </c>
      <c r="I39" s="52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80" customFormat="1" ht="12.75" customHeight="1" x14ac:dyDescent="0.2">
      <c r="A40" s="907" t="s">
        <v>109</v>
      </c>
      <c r="B40" s="905"/>
      <c r="C40" s="905"/>
      <c r="D40" s="905"/>
      <c r="E40" s="906"/>
      <c r="F40" s="37">
        <v>11</v>
      </c>
      <c r="G40" s="47">
        <v>11</v>
      </c>
      <c r="H40" s="37">
        <f>IF(G40="","введите данные ФГОС",IF(F40="","введите рекомендации УМУ",IF('Титульный лист (очная)'!BN29=0,"заполняйте титульный лист",DMAX('Титульный лист (очная)'!BM20:BN28,1,F61:G62))))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80" customFormat="1" ht="12.75" customHeight="1" x14ac:dyDescent="0.2">
      <c r="A41" s="907" t="s">
        <v>108</v>
      </c>
      <c r="B41" s="905"/>
      <c r="C41" s="905"/>
      <c r="D41" s="905"/>
      <c r="E41" s="906"/>
      <c r="F41" s="37">
        <v>8</v>
      </c>
      <c r="G41" s="47">
        <v>8</v>
      </c>
      <c r="H41" s="37">
        <f>IF(G41="","введите данные ФГОС",IF(F41="","введите рекомендации УМУ",IF('Титульный лист (очная)'!BN29=0,"заполняйте титульный лист",DMIN('Титульный лист (очная)'!BM20:BN28,1,F63:G64))))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80" customFormat="1" ht="12.75" customHeight="1" x14ac:dyDescent="0.2">
      <c r="A42" s="907" t="s">
        <v>237</v>
      </c>
      <c r="B42" s="905"/>
      <c r="C42" s="905"/>
      <c r="D42" s="905"/>
      <c r="E42" s="906"/>
      <c r="F42" s="34">
        <v>2</v>
      </c>
      <c r="G42" s="46">
        <v>3</v>
      </c>
      <c r="H42" s="34">
        <v>3</v>
      </c>
      <c r="I42" s="52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80" customFormat="1" ht="12.75" customHeight="1" x14ac:dyDescent="0.2">
      <c r="A43" s="907" t="s">
        <v>238</v>
      </c>
      <c r="B43" s="905"/>
      <c r="C43" s="905"/>
      <c r="D43" s="905"/>
      <c r="E43" s="906"/>
      <c r="F43" s="34">
        <v>2</v>
      </c>
      <c r="G43" s="46">
        <v>2</v>
      </c>
      <c r="H43" s="34">
        <f>IF(G43="","введите данные ФГОС",IF(F43="","введите рекомендации УМУ",IF('Учебный план (очная)'!K101=0,"заполняйте учебный план",IF(F68&lt;&gt;G43,F68,IF(G68&lt;&gt;G43,G68,G43)))))</f>
        <v>2</v>
      </c>
      <c r="I43" s="52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80" customFormat="1" ht="12.75" customHeight="1" x14ac:dyDescent="0.2">
      <c r="A44" s="907" t="s">
        <v>271</v>
      </c>
      <c r="B44" s="905"/>
      <c r="C44" s="905"/>
      <c r="D44" s="905"/>
      <c r="E44" s="906"/>
      <c r="F44" s="34">
        <v>100</v>
      </c>
      <c r="G44" s="46">
        <v>100</v>
      </c>
      <c r="H44" s="34">
        <v>100</v>
      </c>
      <c r="I44" s="52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80" customFormat="1" ht="12.75" customHeight="1" x14ac:dyDescent="0.2">
      <c r="A45" s="907" t="s">
        <v>263</v>
      </c>
      <c r="B45" s="905"/>
      <c r="C45" s="905"/>
      <c r="D45" s="905"/>
      <c r="E45" s="906"/>
      <c r="F45" s="37">
        <v>8</v>
      </c>
      <c r="G45" s="47">
        <v>8</v>
      </c>
      <c r="H45" s="37">
        <f>IF(G45="","введите данные ФГОС",IF(F45="","введите рекомендации УМУ",IF('Учебный план (очная)'!K110=0,"заполняйте учебный план",MAX('Учебный план (очная)'!V110+'Учебный план (очная)'!AB110,'Учебный план (очная)'!AH110+'Учебный план (очная)'!AN110,'Учебный план (очная)'!AT110+'Учебный план (очная)'!AZ110,'Учебный план (очная)'!BF110+'Учебный план (очная)'!BL110))))</f>
        <v>4</v>
      </c>
      <c r="I45" s="5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80" customFormat="1" ht="12.75" customHeight="1" x14ac:dyDescent="0.2">
      <c r="A46" s="907" t="s">
        <v>264</v>
      </c>
      <c r="B46" s="905"/>
      <c r="C46" s="905"/>
      <c r="D46" s="905"/>
      <c r="E46" s="906"/>
      <c r="F46" s="37">
        <v>10</v>
      </c>
      <c r="G46" s="47">
        <v>10</v>
      </c>
      <c r="H46" s="37">
        <f>IF(G46="","введите данные ФГОС",IF(F46="","введите рекомендации УМУ",IF('Учебный план (очная)'!K111=0,"заполняйте учебный план",MAX('Учебный план (очная)'!V111+'Учебный план (очная)'!AB111,'Учебный план (очная)'!AH111+'Учебный план (очная)'!AN111,'Учебный план (очная)'!AT111+'Учебный план (очная)'!AZ111,'Учебный план (очная)'!BF111+'Учебный план (очная)'!BL111))))</f>
        <v>10</v>
      </c>
      <c r="I46" s="52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80" customFormat="1" ht="12.75" customHeight="1" x14ac:dyDescent="0.2">
      <c r="A47" s="907" t="s">
        <v>239</v>
      </c>
      <c r="B47" s="905"/>
      <c r="C47" s="905"/>
      <c r="D47" s="905"/>
      <c r="E47" s="906"/>
      <c r="F47" s="37">
        <v>3</v>
      </c>
      <c r="G47" s="47">
        <v>3</v>
      </c>
      <c r="H47" s="37">
        <f>'Учебный план (очная)'!K112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80" customFormat="1" ht="12.75" customHeight="1" x14ac:dyDescent="0.2">
      <c r="A48" s="907" t="s">
        <v>240</v>
      </c>
      <c r="B48" s="905"/>
      <c r="C48" s="905"/>
      <c r="D48" s="905"/>
      <c r="E48" s="906"/>
      <c r="F48" s="34" t="s">
        <v>141</v>
      </c>
      <c r="G48" s="46" t="s">
        <v>141</v>
      </c>
      <c r="H48" s="106" t="s">
        <v>141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80" customFormat="1" ht="12.75" customHeight="1" x14ac:dyDescent="0.2">
      <c r="A49" s="907" t="s">
        <v>131</v>
      </c>
      <c r="B49" s="905"/>
      <c r="C49" s="905"/>
      <c r="D49" s="905"/>
      <c r="E49" s="906"/>
      <c r="F49" s="34" t="s">
        <v>141</v>
      </c>
      <c r="G49" s="46" t="s">
        <v>141</v>
      </c>
      <c r="H49" s="106" t="s">
        <v>141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77" customForma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s="77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s="77" customFormat="1" x14ac:dyDescent="0.2">
      <c r="A52" s="909" t="s">
        <v>93</v>
      </c>
      <c r="B52" s="909"/>
      <c r="C52" s="909"/>
      <c r="D52" s="909"/>
      <c r="E52" s="909"/>
      <c r="F52" s="909"/>
      <c r="G52" s="909"/>
      <c r="H52" s="909"/>
      <c r="I52" s="909"/>
    </row>
    <row r="53" spans="1:9" s="77" customFormat="1" x14ac:dyDescent="0.2">
      <c r="A53" s="910" t="s">
        <v>241</v>
      </c>
      <c r="B53" s="911"/>
      <c r="C53" s="911"/>
      <c r="D53" s="911"/>
      <c r="E53" s="911"/>
      <c r="F53" s="937" t="s">
        <v>521</v>
      </c>
      <c r="G53" s="938"/>
      <c r="H53" s="938"/>
      <c r="I53" s="939"/>
    </row>
    <row r="54" spans="1:9" s="77" customFormat="1" x14ac:dyDescent="0.2">
      <c r="A54" s="940"/>
      <c r="B54" s="941"/>
      <c r="C54" s="941"/>
      <c r="D54" s="941"/>
      <c r="E54" s="941"/>
      <c r="F54" s="908" t="s">
        <v>242</v>
      </c>
      <c r="G54" s="908"/>
      <c r="H54" s="908"/>
      <c r="I54" s="908"/>
    </row>
    <row r="55" spans="1:9" s="77" customFormat="1" ht="24.75" customHeight="1" x14ac:dyDescent="0.2">
      <c r="A55" s="912" t="str">
        <f>A5</f>
        <v>26.02.06 Эксплуатация судового электрооборудования и средств автоматики</v>
      </c>
      <c r="B55" s="913"/>
      <c r="C55" s="913"/>
      <c r="D55" s="913"/>
      <c r="E55" s="913"/>
      <c r="F55" s="945" t="s">
        <v>320</v>
      </c>
      <c r="G55" s="946"/>
      <c r="H55" s="946"/>
      <c r="I55" s="947"/>
    </row>
    <row r="56" spans="1:9" s="77" customForma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77" customFormat="1" x14ac:dyDescent="0.2">
      <c r="A57" s="944" t="s">
        <v>94</v>
      </c>
      <c r="B57" s="944"/>
      <c r="C57" s="944"/>
      <c r="D57" s="944"/>
      <c r="E57" s="944"/>
      <c r="F57" s="944"/>
      <c r="G57" s="944"/>
      <c r="H57" s="944"/>
      <c r="I57" s="21"/>
    </row>
    <row r="58" spans="1:9" s="77" customFormat="1" ht="12.75" customHeight="1" x14ac:dyDescent="0.2">
      <c r="A58" s="942" t="s">
        <v>541</v>
      </c>
      <c r="B58" s="911"/>
      <c r="C58" s="911"/>
      <c r="D58" s="911"/>
      <c r="E58" s="943"/>
      <c r="F58" s="931" t="str">
        <f>'Титульный лист (очная)'!BC13</f>
        <v>07.05.2014 г. № 444</v>
      </c>
      <c r="G58" s="932"/>
      <c r="H58" s="933"/>
      <c r="I58" s="21"/>
    </row>
    <row r="59" spans="1:9" s="77" customFormat="1" x14ac:dyDescent="0.2">
      <c r="A59" s="910" t="s">
        <v>95</v>
      </c>
      <c r="B59" s="911"/>
      <c r="C59" s="911"/>
      <c r="D59" s="911"/>
      <c r="E59" s="943"/>
      <c r="F59" s="934">
        <v>43344</v>
      </c>
      <c r="G59" s="935"/>
      <c r="H59" s="936"/>
      <c r="I59" s="21"/>
    </row>
    <row r="61" spans="1:9" s="82" customFormat="1" ht="11.25" hidden="1" x14ac:dyDescent="0.2">
      <c r="A61" s="81"/>
      <c r="B61" s="81"/>
      <c r="C61" s="81"/>
      <c r="D61" s="81"/>
      <c r="F61" s="83" t="s">
        <v>24</v>
      </c>
      <c r="G61" s="83" t="s">
        <v>5</v>
      </c>
    </row>
    <row r="62" spans="1:9" s="82" customFormat="1" ht="11.25" hidden="1" x14ac:dyDescent="0.2">
      <c r="A62" s="81"/>
      <c r="B62" s="81"/>
      <c r="C62" s="81"/>
      <c r="D62" s="81"/>
      <c r="F62" s="83"/>
      <c r="G62" s="83" t="s">
        <v>140</v>
      </c>
      <c r="I62" s="84"/>
    </row>
    <row r="63" spans="1:9" s="82" customFormat="1" ht="11.25" hidden="1" x14ac:dyDescent="0.2">
      <c r="A63" s="81"/>
      <c r="B63" s="81"/>
      <c r="C63" s="81"/>
      <c r="D63" s="81"/>
      <c r="F63" s="83" t="s">
        <v>24</v>
      </c>
      <c r="G63" s="83" t="s">
        <v>5</v>
      </c>
    </row>
    <row r="64" spans="1:9" s="82" customFormat="1" ht="11.25" hidden="1" x14ac:dyDescent="0.2">
      <c r="A64" s="81"/>
      <c r="B64" s="81"/>
      <c r="C64" s="81"/>
      <c r="D64" s="81"/>
      <c r="F64" s="83" t="s">
        <v>248</v>
      </c>
      <c r="G64" s="83" t="s">
        <v>140</v>
      </c>
    </row>
    <row r="65" spans="1:10" s="82" customFormat="1" ht="11.25" hidden="1" x14ac:dyDescent="0.2">
      <c r="A65" s="81"/>
      <c r="B65" s="81"/>
      <c r="C65" s="81"/>
      <c r="D65" s="81"/>
    </row>
    <row r="66" spans="1:10" s="82" customFormat="1" ht="11.25" hidden="1" x14ac:dyDescent="0.2">
      <c r="A66" s="81"/>
      <c r="B66" s="81"/>
      <c r="C66" s="81"/>
      <c r="D66" s="892" t="s">
        <v>275</v>
      </c>
      <c r="E66" s="893"/>
      <c r="F66" s="890" t="s">
        <v>276</v>
      </c>
      <c r="G66" s="891"/>
    </row>
    <row r="67" spans="1:10" s="82" customFormat="1" ht="11.25" hidden="1" customHeight="1" x14ac:dyDescent="0.2">
      <c r="A67" s="85" t="s">
        <v>139</v>
      </c>
      <c r="D67" s="86" t="s">
        <v>273</v>
      </c>
      <c r="E67" s="86" t="s">
        <v>274</v>
      </c>
      <c r="F67" s="86" t="s">
        <v>273</v>
      </c>
      <c r="G67" s="86" t="s">
        <v>274</v>
      </c>
    </row>
    <row r="68" spans="1:10" s="82" customFormat="1" ht="11.25" hidden="1" x14ac:dyDescent="0.2">
      <c r="A68" s="87" t="e">
        <f>Примечание!#REF!</f>
        <v>#REF!</v>
      </c>
      <c r="D68" s="88">
        <v>3</v>
      </c>
      <c r="E68" s="88">
        <v>2</v>
      </c>
      <c r="F68" s="88">
        <v>2</v>
      </c>
      <c r="G68" s="88">
        <v>2</v>
      </c>
      <c r="H68" s="89"/>
    </row>
    <row r="69" spans="1:10" s="82" customFormat="1" ht="11.25" hidden="1" x14ac:dyDescent="0.2">
      <c r="A69" s="87" t="str">
        <f>Примечание!B21</f>
        <v>Наименование</v>
      </c>
      <c r="D69" s="90">
        <v>2</v>
      </c>
      <c r="E69" s="90">
        <v>23</v>
      </c>
      <c r="F69" s="90">
        <v>2</v>
      </c>
      <c r="G69" s="90">
        <v>28</v>
      </c>
    </row>
    <row r="70" spans="1:10" s="82" customFormat="1" ht="22.5" hidden="1" x14ac:dyDescent="0.2">
      <c r="A70" s="87" t="str">
        <f>Примечание!B22</f>
        <v>недель промежуточной аттестации</v>
      </c>
      <c r="D70" s="90" t="s">
        <v>7</v>
      </c>
      <c r="E70" s="90" t="s">
        <v>140</v>
      </c>
      <c r="F70" s="90" t="s">
        <v>7</v>
      </c>
      <c r="G70" s="90" t="s">
        <v>140</v>
      </c>
    </row>
    <row r="71" spans="1:10" s="82" customFormat="1" ht="11.25" hidden="1" x14ac:dyDescent="0.2">
      <c r="A71" s="87" t="s">
        <v>521</v>
      </c>
      <c r="D71" s="90">
        <v>2</v>
      </c>
      <c r="E71" s="90">
        <v>32</v>
      </c>
      <c r="F71" s="90">
        <v>2</v>
      </c>
      <c r="G71" s="90">
        <v>37</v>
      </c>
    </row>
    <row r="72" spans="1:10" s="82" customFormat="1" ht="22.5" hidden="1" x14ac:dyDescent="0.2">
      <c r="A72" s="87">
        <f>Примечание!B24</f>
        <v>0</v>
      </c>
      <c r="D72" s="90" t="s">
        <v>7</v>
      </c>
      <c r="E72" s="90" t="s">
        <v>140</v>
      </c>
      <c r="F72" s="90" t="s">
        <v>7</v>
      </c>
      <c r="G72" s="90" t="s">
        <v>140</v>
      </c>
      <c r="H72" s="89"/>
      <c r="I72" s="89"/>
      <c r="J72" s="89"/>
    </row>
    <row r="73" spans="1:10" s="82" customFormat="1" ht="11.25" hidden="1" x14ac:dyDescent="0.2">
      <c r="A73" s="87">
        <f>Примечание!B25</f>
        <v>0</v>
      </c>
      <c r="D73" s="90">
        <v>2</v>
      </c>
      <c r="E73" s="90">
        <v>41</v>
      </c>
      <c r="F73" s="90">
        <v>2</v>
      </c>
      <c r="G73" s="90">
        <v>46</v>
      </c>
    </row>
    <row r="74" spans="1:10" s="82" customFormat="1" ht="22.5" hidden="1" x14ac:dyDescent="0.2">
      <c r="A74" s="87" t="str">
        <f>Примечание!B26</f>
        <v>Междисциплинарный курс</v>
      </c>
      <c r="D74" s="90" t="s">
        <v>7</v>
      </c>
      <c r="E74" s="90" t="s">
        <v>140</v>
      </c>
      <c r="F74" s="90" t="s">
        <v>7</v>
      </c>
      <c r="G74" s="90" t="s">
        <v>140</v>
      </c>
    </row>
    <row r="75" spans="1:10" s="82" customFormat="1" ht="33.75" hidden="1" x14ac:dyDescent="0.2">
      <c r="A75" s="87" t="str">
        <f>Примечание!B27</f>
        <v xml:space="preserve"> Эксплуатация и ремонт судовых электрических машин, электроэнергетических систем и электроприводов, электрических систем автоматики и контроля</v>
      </c>
      <c r="D75" s="90">
        <v>2</v>
      </c>
      <c r="E75" s="90">
        <v>50</v>
      </c>
      <c r="F75" s="90">
        <v>2</v>
      </c>
      <c r="G75" s="90">
        <v>55</v>
      </c>
    </row>
    <row r="76" spans="1:10" s="82" customFormat="1" ht="22.5" hidden="1" x14ac:dyDescent="0.2">
      <c r="A76" s="87" t="str">
        <f>Примечание!B28</f>
        <v>Основы управления коллективом исполнителей</v>
      </c>
      <c r="D76" s="90" t="s">
        <v>7</v>
      </c>
      <c r="E76" s="90" t="s">
        <v>140</v>
      </c>
      <c r="F76" s="90" t="s">
        <v>7</v>
      </c>
      <c r="G76" s="90" t="s">
        <v>140</v>
      </c>
    </row>
    <row r="77" spans="1:10" s="82" customFormat="1" ht="22.5" hidden="1" x14ac:dyDescent="0.2">
      <c r="A77" s="87" t="str">
        <f>Примечание!B29</f>
        <v>Безопасность жизнедеятельности на судне и транспортная безопасность</v>
      </c>
      <c r="D77" s="90">
        <v>2</v>
      </c>
      <c r="E77" s="90">
        <v>59</v>
      </c>
      <c r="F77" s="90">
        <v>2</v>
      </c>
      <c r="G77" s="90">
        <v>64</v>
      </c>
    </row>
    <row r="78" spans="1:10" s="82" customFormat="1" ht="22.5" hidden="1" x14ac:dyDescent="0.2">
      <c r="D78" s="90" t="s">
        <v>7</v>
      </c>
      <c r="E78" s="90" t="s">
        <v>140</v>
      </c>
      <c r="F78" s="90" t="s">
        <v>7</v>
      </c>
      <c r="G78" s="90" t="s">
        <v>140</v>
      </c>
    </row>
    <row r="79" spans="1:10" s="82" customFormat="1" ht="11.25" hidden="1" x14ac:dyDescent="0.2">
      <c r="A79" s="914" t="s">
        <v>270</v>
      </c>
      <c r="B79" s="915"/>
      <c r="D79" s="90">
        <v>2</v>
      </c>
      <c r="E79" s="90">
        <v>68</v>
      </c>
      <c r="F79" s="90">
        <v>2</v>
      </c>
      <c r="G79" s="90">
        <v>73</v>
      </c>
    </row>
    <row r="80" spans="1:10" s="82" customFormat="1" ht="22.5" hidden="1" x14ac:dyDescent="0.2">
      <c r="A80" s="87" t="str">
        <f>Примечание!B3</f>
        <v>Общего гуманитарного и социально-экономического цикла</v>
      </c>
      <c r="B80" s="91" t="str">
        <f>Примечание!C3</f>
        <v>64 - 1</v>
      </c>
      <c r="D80" s="90" t="s">
        <v>7</v>
      </c>
      <c r="E80" s="90" t="s">
        <v>140</v>
      </c>
      <c r="F80" s="90" t="s">
        <v>7</v>
      </c>
      <c r="G80" s="90" t="s">
        <v>140</v>
      </c>
    </row>
    <row r="81" spans="1:7" s="82" customFormat="1" ht="11.25" hidden="1" x14ac:dyDescent="0.2">
      <c r="A81" s="87" t="str">
        <f>Примечание!B4</f>
        <v>Математического  и общего естественнонаучного цикла</v>
      </c>
      <c r="B81" s="91" t="str">
        <f>Примечание!C4</f>
        <v>64 - 2</v>
      </c>
      <c r="D81" s="90">
        <v>2</v>
      </c>
      <c r="E81" s="90">
        <v>77</v>
      </c>
      <c r="F81" s="90">
        <v>2</v>
      </c>
      <c r="G81" s="90">
        <v>82</v>
      </c>
    </row>
    <row r="82" spans="1:7" s="82" customFormat="1" ht="22.5" hidden="1" x14ac:dyDescent="0.2">
      <c r="A82" s="87" t="str">
        <f>Примечание!B5</f>
        <v>Общепрофессиональных дисциплин</v>
      </c>
      <c r="B82" s="91" t="str">
        <f>Примечание!C5</f>
        <v>64 - 3</v>
      </c>
      <c r="D82" s="90" t="s">
        <v>7</v>
      </c>
      <c r="E82" s="90" t="s">
        <v>140</v>
      </c>
      <c r="F82" s="90" t="s">
        <v>7</v>
      </c>
      <c r="G82" s="90" t="s">
        <v>140</v>
      </c>
    </row>
    <row r="83" spans="1:7" s="82" customFormat="1" ht="11.25" hidden="1" x14ac:dyDescent="0.2">
      <c r="A83" s="87" t="str">
        <f>Примечание!B6</f>
        <v>Профессионального цикла специальности "Судовождение"</v>
      </c>
      <c r="B83" s="91" t="str">
        <f>Примечание!C6</f>
        <v>64 - 4</v>
      </c>
      <c r="D83" s="90">
        <v>2</v>
      </c>
      <c r="E83" s="90">
        <v>86</v>
      </c>
      <c r="F83" s="90">
        <v>2</v>
      </c>
      <c r="G83" s="90">
        <v>91</v>
      </c>
    </row>
    <row r="84" spans="1:7" s="82" customFormat="1" ht="22.5" hidden="1" x14ac:dyDescent="0.2">
      <c r="A84" s="87" t="str">
        <f>Примечание!B7</f>
        <v>Профессионального цикла специальности "Эксплуатация судовых энергетических установок"</v>
      </c>
      <c r="B84" s="91" t="str">
        <f>Примечание!C7</f>
        <v>64 - 5</v>
      </c>
      <c r="D84" s="90" t="s">
        <v>7</v>
      </c>
      <c r="E84" s="90" t="s">
        <v>140</v>
      </c>
      <c r="F84" s="90" t="s">
        <v>7</v>
      </c>
      <c r="G84" s="90" t="s">
        <v>140</v>
      </c>
    </row>
    <row r="85" spans="1:7" s="82" customFormat="1" ht="22.5" hidden="1" x14ac:dyDescent="0.2">
      <c r="A85" s="87" t="str">
        <f>Примечание!B8</f>
        <v xml:space="preserve">Профессионального цикла специальности "Эксплуатация судового электрооборудования и средств автоматики" </v>
      </c>
      <c r="B85" s="91" t="str">
        <f>Примечание!C8</f>
        <v>64 - 6</v>
      </c>
      <c r="D85" s="90">
        <v>2</v>
      </c>
      <c r="E85" s="90">
        <v>95</v>
      </c>
      <c r="F85" s="90">
        <v>2</v>
      </c>
      <c r="G85" s="90">
        <v>100</v>
      </c>
    </row>
    <row r="86" spans="1:7" s="82" customFormat="1" ht="22.5" hidden="1" x14ac:dyDescent="0.2">
      <c r="A86" s="87" t="str">
        <f>Примечание!B9</f>
        <v>Профессионального цикла специальности "Эксплуатация внутренних водных путей"</v>
      </c>
      <c r="B86" s="91" t="str">
        <f>Примечание!C9</f>
        <v>64 - 7</v>
      </c>
      <c r="D86" s="90" t="s">
        <v>7</v>
      </c>
      <c r="E86" s="90" t="s">
        <v>140</v>
      </c>
      <c r="F86" s="90" t="s">
        <v>7</v>
      </c>
      <c r="G86" s="90" t="s">
        <v>140</v>
      </c>
    </row>
    <row r="87" spans="1:7" s="82" customFormat="1" ht="22.5" hidden="1" x14ac:dyDescent="0.2">
      <c r="A87" s="87" t="str">
        <f>Примечание!B10</f>
        <v>Профессионального цикла специальности "Экономика и бухгалтерский учет (по отраслям)"</v>
      </c>
      <c r="B87" s="91" t="str">
        <f>Примечание!C10</f>
        <v>64 - 8</v>
      </c>
      <c r="D87" s="90">
        <v>2</v>
      </c>
      <c r="E87" s="90">
        <v>104</v>
      </c>
      <c r="F87" s="90">
        <v>2</v>
      </c>
      <c r="G87" s="90">
        <v>109</v>
      </c>
    </row>
    <row r="88" spans="1:7" s="82" customFormat="1" ht="22.5" hidden="1" x14ac:dyDescent="0.2">
      <c r="A88" s="87" t="str">
        <f>Примечание!B11</f>
        <v>Профессионального цикла специальности "Организация перевозок и управление на транспорте (по видам)"</v>
      </c>
      <c r="B88" s="91" t="str">
        <f>Примечание!C11</f>
        <v>64 - 9</v>
      </c>
      <c r="D88" s="90" t="s">
        <v>7</v>
      </c>
      <c r="E88" s="90" t="s">
        <v>140</v>
      </c>
      <c r="F88" s="90" t="s">
        <v>7</v>
      </c>
      <c r="G88" s="90" t="s">
        <v>140</v>
      </c>
    </row>
    <row r="89" spans="1:7" s="82" customFormat="1" ht="11.25" hidden="1" x14ac:dyDescent="0.2">
      <c r="A89" s="87" t="str">
        <f>Примечание!B12</f>
        <v>Кафедра теории конструирования инженерных сооружений</v>
      </c>
      <c r="B89" s="91">
        <f>Примечание!C12</f>
        <v>31</v>
      </c>
    </row>
    <row r="90" spans="1:7" s="82" customFormat="1" ht="11.25" hidden="1" x14ac:dyDescent="0.2">
      <c r="A90" s="87">
        <f>Примечание!B14</f>
        <v>0</v>
      </c>
      <c r="B90" s="91">
        <f>Примечание!C14</f>
        <v>0</v>
      </c>
    </row>
    <row r="91" spans="1:7" s="82" customFormat="1" ht="11.25" hidden="1" x14ac:dyDescent="0.2">
      <c r="A91" s="87">
        <f>Примечание!B15</f>
        <v>0</v>
      </c>
      <c r="B91" s="91">
        <f>Примечание!C15</f>
        <v>0</v>
      </c>
    </row>
    <row r="92" spans="1:7" s="82" customFormat="1" ht="11.25" hidden="1" x14ac:dyDescent="0.2">
      <c r="A92" s="87" t="str">
        <f>Примечание!B16</f>
        <v>Наименование отделения (факультета)</v>
      </c>
      <c r="B92" s="91" t="str">
        <f>Примечание!C16</f>
        <v>Код</v>
      </c>
    </row>
    <row r="93" spans="1:7" s="82" customFormat="1" ht="11.25" hidden="1" x14ac:dyDescent="0.2">
      <c r="A93" s="87" t="str">
        <f>Примечание!B17</f>
        <v>Нижегородское речное училище им.И.П.Кулибина</v>
      </c>
      <c r="B93" s="91">
        <f>Примечание!C17</f>
        <v>64</v>
      </c>
    </row>
    <row r="94" spans="1:7" s="82" customFormat="1" ht="11.25" hidden="1" x14ac:dyDescent="0.2">
      <c r="A94" s="87" t="e">
        <f>Примечание!#REF!</f>
        <v>#REF!</v>
      </c>
      <c r="B94" s="91" t="e">
        <f>Примечание!#REF!</f>
        <v>#REF!</v>
      </c>
    </row>
    <row r="95" spans="1:7" s="82" customFormat="1" ht="11.25" hidden="1" x14ac:dyDescent="0.2">
      <c r="A95" s="87" t="e">
        <f>Примечание!#REF!</f>
        <v>#REF!</v>
      </c>
      <c r="B95" s="91" t="e">
        <f>Примечание!#REF!</f>
        <v>#REF!</v>
      </c>
    </row>
    <row r="96" spans="1:7" s="82" customFormat="1" ht="11.25" hidden="1" x14ac:dyDescent="0.2">
      <c r="A96" s="87" t="e">
        <f>Примечание!#REF!</f>
        <v>#REF!</v>
      </c>
      <c r="B96" s="91" t="e">
        <f>Примечание!#REF!</f>
        <v>#REF!</v>
      </c>
    </row>
    <row r="97" spans="1:7" s="82" customFormat="1" hidden="1" x14ac:dyDescent="0.2">
      <c r="A97" s="87" t="str">
        <f>Примечание!B18</f>
        <v>Управление конвенционной подготовки и повышения квалификации</v>
      </c>
      <c r="B97" s="91">
        <f>Примечание!C18</f>
        <v>5</v>
      </c>
      <c r="D97" s="92"/>
      <c r="E97" s="92"/>
      <c r="F97" s="92"/>
      <c r="G97" s="92"/>
    </row>
    <row r="98" spans="1:7" s="82" customFormat="1" hidden="1" x14ac:dyDescent="0.2">
      <c r="A98" s="87">
        <f>Примечание!B19</f>
        <v>0</v>
      </c>
      <c r="B98" s="91">
        <f>Примечание!C19</f>
        <v>0</v>
      </c>
      <c r="D98" s="92"/>
      <c r="E98" s="92"/>
      <c r="F98" s="92"/>
      <c r="G98" s="92"/>
    </row>
    <row r="99" spans="1:7" s="82" customFormat="1" hidden="1" x14ac:dyDescent="0.2">
      <c r="A99" s="87">
        <f>Примечание!B20</f>
        <v>0</v>
      </c>
      <c r="B99" s="91">
        <f>Примечание!C20</f>
        <v>0</v>
      </c>
      <c r="D99" s="92"/>
      <c r="E99" s="92"/>
      <c r="F99" s="92"/>
      <c r="G99" s="92"/>
    </row>
  </sheetData>
  <sheetProtection password="CF70" sheet="1" objects="1" scenarios="1" selectLockedCells="1" selectUnlockedCells="1"/>
  <mergeCells count="64">
    <mergeCell ref="F58:H58"/>
    <mergeCell ref="A13:C13"/>
    <mergeCell ref="A14:C14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  <mergeCell ref="A32:E32"/>
    <mergeCell ref="A49:E49"/>
    <mergeCell ref="A33:E33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</mergeCells>
  <phoneticPr fontId="9" type="noConversion"/>
  <conditionalFormatting sqref="H6:I22 I26:I49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2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F43"/>
  <sheetViews>
    <sheetView zoomScale="90" zoomScaleNormal="90" workbookViewId="0">
      <selection activeCell="E20" sqref="E20"/>
    </sheetView>
  </sheetViews>
  <sheetFormatPr defaultColWidth="9.33203125" defaultRowHeight="12.75" x14ac:dyDescent="0.2"/>
  <cols>
    <col min="1" max="1" width="7.33203125" style="96" bestFit="1" customWidth="1"/>
    <col min="2" max="2" width="100.83203125" style="96" customWidth="1"/>
    <col min="3" max="3" width="9.33203125" style="96"/>
    <col min="4" max="4" width="8" style="96" bestFit="1" customWidth="1"/>
    <col min="5" max="5" width="100.83203125" style="96" customWidth="1"/>
    <col min="6" max="16384" width="9.33203125" style="96"/>
  </cols>
  <sheetData>
    <row r="1" spans="1:6" x14ac:dyDescent="0.2">
      <c r="A1" s="948" t="s">
        <v>142</v>
      </c>
      <c r="B1" s="948"/>
      <c r="D1" s="948" t="s">
        <v>0</v>
      </c>
      <c r="E1" s="948"/>
    </row>
    <row r="2" spans="1:6" ht="25.5" x14ac:dyDescent="0.2">
      <c r="A2" s="98" t="s">
        <v>80</v>
      </c>
      <c r="B2" s="93" t="s">
        <v>281</v>
      </c>
      <c r="D2" s="124" t="s">
        <v>328</v>
      </c>
      <c r="E2" s="297" t="s">
        <v>407</v>
      </c>
    </row>
    <row r="3" spans="1:6" ht="25.5" x14ac:dyDescent="0.2">
      <c r="A3" s="98" t="s">
        <v>81</v>
      </c>
      <c r="B3" s="93" t="s">
        <v>288</v>
      </c>
      <c r="D3" s="124" t="s">
        <v>329</v>
      </c>
      <c r="E3" s="297" t="s">
        <v>408</v>
      </c>
    </row>
    <row r="4" spans="1:6" x14ac:dyDescent="0.2">
      <c r="A4" s="98" t="s">
        <v>82</v>
      </c>
      <c r="B4" s="93" t="s">
        <v>278</v>
      </c>
      <c r="D4" s="124" t="s">
        <v>330</v>
      </c>
      <c r="E4" s="297" t="s">
        <v>409</v>
      </c>
    </row>
    <row r="5" spans="1:6" ht="25.5" x14ac:dyDescent="0.2">
      <c r="A5" s="98" t="s">
        <v>83</v>
      </c>
      <c r="B5" s="93" t="s">
        <v>279</v>
      </c>
      <c r="D5" s="124" t="s">
        <v>331</v>
      </c>
      <c r="E5" s="297" t="s">
        <v>410</v>
      </c>
    </row>
    <row r="6" spans="1:6" ht="27" customHeight="1" x14ac:dyDescent="0.2">
      <c r="A6" s="98" t="s">
        <v>84</v>
      </c>
      <c r="B6" s="93" t="s">
        <v>289</v>
      </c>
      <c r="D6" s="124" t="s">
        <v>332</v>
      </c>
      <c r="E6" s="297" t="s">
        <v>411</v>
      </c>
    </row>
    <row r="7" spans="1:6" x14ac:dyDescent="0.2">
      <c r="A7" s="98" t="s">
        <v>85</v>
      </c>
      <c r="B7" s="93" t="s">
        <v>290</v>
      </c>
      <c r="D7" s="124" t="s">
        <v>333</v>
      </c>
      <c r="E7" s="419" t="s">
        <v>412</v>
      </c>
    </row>
    <row r="8" spans="1:6" ht="12.75" customHeight="1" x14ac:dyDescent="0.2">
      <c r="A8" s="98" t="s">
        <v>86</v>
      </c>
      <c r="B8" s="99" t="s">
        <v>326</v>
      </c>
      <c r="D8" s="124" t="s">
        <v>334</v>
      </c>
      <c r="E8" s="297" t="s">
        <v>413</v>
      </c>
    </row>
    <row r="9" spans="1:6" ht="25.5" x14ac:dyDescent="0.2">
      <c r="A9" s="98" t="s">
        <v>87</v>
      </c>
      <c r="B9" s="99" t="s">
        <v>327</v>
      </c>
      <c r="D9" s="307" t="s">
        <v>335</v>
      </c>
      <c r="E9" s="297" t="s">
        <v>414</v>
      </c>
    </row>
    <row r="10" spans="1:6" x14ac:dyDescent="0.2">
      <c r="A10" s="98" t="s">
        <v>88</v>
      </c>
      <c r="B10" s="99" t="s">
        <v>280</v>
      </c>
      <c r="D10" s="307" t="s">
        <v>336</v>
      </c>
      <c r="E10" s="297" t="s">
        <v>292</v>
      </c>
      <c r="F10" s="298"/>
    </row>
    <row r="11" spans="1:6" ht="25.5" x14ac:dyDescent="0.2">
      <c r="A11" s="174" t="s">
        <v>89</v>
      </c>
      <c r="B11" s="175" t="s">
        <v>291</v>
      </c>
      <c r="D11" s="307" t="s">
        <v>337</v>
      </c>
      <c r="E11" s="297" t="s">
        <v>293</v>
      </c>
      <c r="F11" s="298"/>
    </row>
    <row r="12" spans="1:6" ht="25.5" x14ac:dyDescent="0.2">
      <c r="A12" s="178"/>
      <c r="B12" s="179"/>
      <c r="D12" s="307" t="s">
        <v>338</v>
      </c>
      <c r="E12" s="297" t="s">
        <v>417</v>
      </c>
      <c r="F12" s="298"/>
    </row>
    <row r="13" spans="1:6" x14ac:dyDescent="0.2">
      <c r="A13" s="176"/>
      <c r="B13" s="159"/>
      <c r="D13" s="307" t="s">
        <v>415</v>
      </c>
      <c r="E13" s="297" t="s">
        <v>418</v>
      </c>
      <c r="F13" s="298"/>
    </row>
    <row r="14" spans="1:6" x14ac:dyDescent="0.2">
      <c r="A14" s="176"/>
      <c r="B14" s="94"/>
      <c r="D14" s="307" t="s">
        <v>416</v>
      </c>
      <c r="E14" s="297" t="s">
        <v>294</v>
      </c>
      <c r="F14" s="298"/>
    </row>
    <row r="15" spans="1:6" ht="25.5" x14ac:dyDescent="0.2">
      <c r="A15" s="176"/>
      <c r="B15" s="94"/>
      <c r="D15" s="307" t="s">
        <v>421</v>
      </c>
      <c r="E15" s="297" t="s">
        <v>419</v>
      </c>
      <c r="F15" s="298"/>
    </row>
    <row r="16" spans="1:6" ht="25.5" x14ac:dyDescent="0.2">
      <c r="A16" s="176"/>
      <c r="B16" s="94"/>
      <c r="D16" s="307" t="s">
        <v>422</v>
      </c>
      <c r="E16" s="299" t="s">
        <v>420</v>
      </c>
      <c r="F16" s="298"/>
    </row>
    <row r="17" spans="1:2" x14ac:dyDescent="0.2">
      <c r="A17" s="177"/>
      <c r="B17" s="94"/>
    </row>
    <row r="18" spans="1:2" x14ac:dyDescent="0.2">
      <c r="A18" s="97"/>
      <c r="B18" s="94"/>
    </row>
    <row r="19" spans="1:2" x14ac:dyDescent="0.2">
      <c r="A19" s="97"/>
      <c r="B19" s="94"/>
    </row>
    <row r="20" spans="1:2" ht="13.5" x14ac:dyDescent="0.2">
      <c r="A20" s="95"/>
      <c r="B20" s="100"/>
    </row>
    <row r="21" spans="1:2" x14ac:dyDescent="0.2">
      <c r="A21" s="97"/>
      <c r="B21" s="100"/>
    </row>
    <row r="22" spans="1:2" x14ac:dyDescent="0.2">
      <c r="A22" s="97"/>
      <c r="B22" s="100"/>
    </row>
    <row r="23" spans="1:2" x14ac:dyDescent="0.2">
      <c r="A23" s="97"/>
      <c r="B23" s="100"/>
    </row>
    <row r="24" spans="1:2" x14ac:dyDescent="0.2">
      <c r="A24" s="97"/>
      <c r="B24" s="100"/>
    </row>
    <row r="25" spans="1:2" x14ac:dyDescent="0.2">
      <c r="A25" s="97"/>
      <c r="B25" s="100"/>
    </row>
    <row r="26" spans="1:2" ht="13.5" x14ac:dyDescent="0.2">
      <c r="A26" s="95"/>
      <c r="B26" s="100"/>
    </row>
    <row r="27" spans="1:2" x14ac:dyDescent="0.2">
      <c r="A27" s="97"/>
      <c r="B27" s="100"/>
    </row>
    <row r="28" spans="1:2" x14ac:dyDescent="0.2">
      <c r="A28" s="97"/>
      <c r="B28" s="100"/>
    </row>
    <row r="29" spans="1:2" x14ac:dyDescent="0.2">
      <c r="A29" s="97"/>
      <c r="B29" s="100"/>
    </row>
    <row r="30" spans="1:2" x14ac:dyDescent="0.2">
      <c r="A30" s="97"/>
      <c r="B30" s="100"/>
    </row>
    <row r="31" spans="1:2" x14ac:dyDescent="0.2">
      <c r="A31" s="94"/>
      <c r="B31" s="100"/>
    </row>
    <row r="32" spans="1:2" x14ac:dyDescent="0.2">
      <c r="A32" s="97"/>
      <c r="B32" s="100"/>
    </row>
    <row r="33" spans="1:2" x14ac:dyDescent="0.2">
      <c r="A33" s="97"/>
      <c r="B33" s="100"/>
    </row>
    <row r="34" spans="1:2" x14ac:dyDescent="0.2">
      <c r="B34" s="100"/>
    </row>
    <row r="35" spans="1:2" x14ac:dyDescent="0.2">
      <c r="B35" s="100"/>
    </row>
    <row r="36" spans="1:2" x14ac:dyDescent="0.2">
      <c r="B36" s="100"/>
    </row>
    <row r="37" spans="1:2" x14ac:dyDescent="0.2">
      <c r="B37" s="100"/>
    </row>
    <row r="38" spans="1:2" x14ac:dyDescent="0.2">
      <c r="B38" s="100"/>
    </row>
    <row r="39" spans="1:2" x14ac:dyDescent="0.2">
      <c r="B39" s="100"/>
    </row>
    <row r="40" spans="1:2" x14ac:dyDescent="0.2">
      <c r="B40" s="100"/>
    </row>
    <row r="41" spans="1:2" x14ac:dyDescent="0.2">
      <c r="B41" s="100"/>
    </row>
    <row r="42" spans="1:2" x14ac:dyDescent="0.2">
      <c r="B42" s="100"/>
    </row>
    <row r="43" spans="1:2" x14ac:dyDescent="0.2">
      <c r="B43" s="101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workbookViewId="0">
      <selection activeCell="C7" sqref="C7"/>
    </sheetView>
  </sheetViews>
  <sheetFormatPr defaultColWidth="36" defaultRowHeight="12.75" x14ac:dyDescent="0.2"/>
  <cols>
    <col min="1" max="1" width="4.5" style="96" customWidth="1"/>
    <col min="2" max="2" width="32.1640625" style="96" customWidth="1"/>
    <col min="3" max="3" width="92.33203125" style="96" customWidth="1"/>
    <col min="4" max="16384" width="36" style="96"/>
  </cols>
  <sheetData>
    <row r="1" spans="1:4" ht="12.75" customHeight="1" x14ac:dyDescent="0.2">
      <c r="A1" s="949" t="s">
        <v>143</v>
      </c>
      <c r="B1" s="949"/>
      <c r="C1" s="949"/>
    </row>
    <row r="2" spans="1:4" x14ac:dyDescent="0.2">
      <c r="A2" s="300" t="s">
        <v>34</v>
      </c>
      <c r="B2" s="300" t="s">
        <v>144</v>
      </c>
      <c r="C2" s="301" t="s">
        <v>9</v>
      </c>
    </row>
    <row r="3" spans="1:4" x14ac:dyDescent="0.2">
      <c r="A3" s="424">
        <v>1</v>
      </c>
      <c r="B3" s="425" t="s">
        <v>212</v>
      </c>
      <c r="C3" s="426" t="s">
        <v>522</v>
      </c>
      <c r="D3" s="304"/>
    </row>
    <row r="4" spans="1:4" x14ac:dyDescent="0.2">
      <c r="A4" s="302">
        <v>2</v>
      </c>
      <c r="B4" s="303" t="s">
        <v>212</v>
      </c>
      <c r="C4" s="99" t="s">
        <v>213</v>
      </c>
      <c r="D4" s="304"/>
    </row>
    <row r="5" spans="1:4" x14ac:dyDescent="0.2">
      <c r="A5" s="424">
        <v>3</v>
      </c>
      <c r="B5" s="303" t="s">
        <v>212</v>
      </c>
      <c r="C5" s="99" t="s">
        <v>295</v>
      </c>
      <c r="D5" s="304"/>
    </row>
    <row r="6" spans="1:4" x14ac:dyDescent="0.2">
      <c r="A6" s="302">
        <v>4</v>
      </c>
      <c r="B6" s="303" t="s">
        <v>212</v>
      </c>
      <c r="C6" s="99" t="s">
        <v>214</v>
      </c>
      <c r="D6" s="304"/>
    </row>
    <row r="7" spans="1:4" x14ac:dyDescent="0.2">
      <c r="A7" s="424">
        <v>5</v>
      </c>
      <c r="B7" s="303" t="s">
        <v>212</v>
      </c>
      <c r="C7" s="99" t="s">
        <v>297</v>
      </c>
      <c r="D7" s="304"/>
    </row>
    <row r="8" spans="1:4" x14ac:dyDescent="0.2">
      <c r="A8" s="302">
        <v>6</v>
      </c>
      <c r="B8" s="303" t="s">
        <v>212</v>
      </c>
      <c r="C8" s="99" t="s">
        <v>215</v>
      </c>
      <c r="D8" s="304"/>
    </row>
    <row r="9" spans="1:4" x14ac:dyDescent="0.2">
      <c r="A9" s="424">
        <v>7</v>
      </c>
      <c r="B9" s="303" t="s">
        <v>212</v>
      </c>
      <c r="C9" s="99" t="s">
        <v>298</v>
      </c>
      <c r="D9" s="304"/>
    </row>
    <row r="10" spans="1:4" x14ac:dyDescent="0.2">
      <c r="A10" s="302">
        <v>8</v>
      </c>
      <c r="B10" s="303" t="s">
        <v>212</v>
      </c>
      <c r="C10" s="99" t="s">
        <v>299</v>
      </c>
      <c r="D10" s="304"/>
    </row>
    <row r="11" spans="1:4" x14ac:dyDescent="0.2">
      <c r="A11" s="424">
        <v>9</v>
      </c>
      <c r="B11" s="303" t="s">
        <v>212</v>
      </c>
      <c r="C11" s="99" t="s">
        <v>300</v>
      </c>
      <c r="D11" s="304"/>
    </row>
    <row r="12" spans="1:4" x14ac:dyDescent="0.2">
      <c r="A12" s="302">
        <v>10</v>
      </c>
      <c r="B12" s="303" t="s">
        <v>212</v>
      </c>
      <c r="C12" s="99" t="s">
        <v>301</v>
      </c>
      <c r="D12" s="304"/>
    </row>
    <row r="13" spans="1:4" x14ac:dyDescent="0.2">
      <c r="A13" s="424">
        <v>11</v>
      </c>
      <c r="B13" s="303" t="s">
        <v>212</v>
      </c>
      <c r="C13" s="99" t="s">
        <v>423</v>
      </c>
      <c r="D13" s="304"/>
    </row>
    <row r="14" spans="1:4" x14ac:dyDescent="0.2">
      <c r="A14" s="302">
        <v>12</v>
      </c>
      <c r="B14" s="305" t="s">
        <v>212</v>
      </c>
      <c r="C14" s="99" t="s">
        <v>296</v>
      </c>
      <c r="D14" s="304"/>
    </row>
    <row r="15" spans="1:4" x14ac:dyDescent="0.2">
      <c r="A15" s="424">
        <v>13</v>
      </c>
      <c r="B15" s="305" t="s">
        <v>216</v>
      </c>
      <c r="C15" s="99" t="s">
        <v>424</v>
      </c>
      <c r="D15" s="304"/>
    </row>
    <row r="16" spans="1:4" x14ac:dyDescent="0.2">
      <c r="A16" s="302">
        <v>14</v>
      </c>
      <c r="B16" s="305" t="s">
        <v>216</v>
      </c>
      <c r="C16" s="99" t="s">
        <v>425</v>
      </c>
      <c r="D16" s="304"/>
    </row>
    <row r="17" spans="1:4" x14ac:dyDescent="0.2">
      <c r="A17" s="424">
        <v>15</v>
      </c>
      <c r="B17" s="303" t="s">
        <v>216</v>
      </c>
      <c r="C17" s="99" t="s">
        <v>426</v>
      </c>
      <c r="D17" s="304"/>
    </row>
    <row r="18" spans="1:4" x14ac:dyDescent="0.2">
      <c r="A18" s="302">
        <v>16</v>
      </c>
      <c r="B18" s="303" t="s">
        <v>216</v>
      </c>
      <c r="C18" s="99" t="s">
        <v>427</v>
      </c>
      <c r="D18" s="304"/>
    </row>
    <row r="19" spans="1:4" x14ac:dyDescent="0.2">
      <c r="A19" s="424">
        <v>17</v>
      </c>
      <c r="B19" s="303" t="s">
        <v>216</v>
      </c>
      <c r="C19" s="99" t="s">
        <v>428</v>
      </c>
      <c r="D19" s="304"/>
    </row>
    <row r="20" spans="1:4" x14ac:dyDescent="0.2">
      <c r="A20" s="302">
        <v>18</v>
      </c>
      <c r="B20" s="303" t="s">
        <v>216</v>
      </c>
      <c r="C20" s="99" t="s">
        <v>429</v>
      </c>
      <c r="D20" s="304"/>
    </row>
    <row r="21" spans="1:4" x14ac:dyDescent="0.2">
      <c r="A21" s="424">
        <v>19</v>
      </c>
      <c r="B21" s="303" t="s">
        <v>302</v>
      </c>
      <c r="C21" s="99" t="s">
        <v>430</v>
      </c>
      <c r="D21" s="304"/>
    </row>
    <row r="22" spans="1:4" x14ac:dyDescent="0.2">
      <c r="A22" s="302">
        <v>20</v>
      </c>
      <c r="B22" s="303" t="s">
        <v>302</v>
      </c>
      <c r="C22" s="99" t="s">
        <v>339</v>
      </c>
      <c r="D22" s="304"/>
    </row>
    <row r="23" spans="1:4" x14ac:dyDescent="0.2">
      <c r="A23" s="424">
        <v>21</v>
      </c>
      <c r="B23" s="99" t="s">
        <v>217</v>
      </c>
      <c r="C23" s="99" t="s">
        <v>220</v>
      </c>
      <c r="D23" s="304"/>
    </row>
    <row r="24" spans="1:4" x14ac:dyDescent="0.2">
      <c r="A24" s="302">
        <v>22</v>
      </c>
      <c r="B24" s="99" t="s">
        <v>217</v>
      </c>
      <c r="C24" s="99" t="s">
        <v>431</v>
      </c>
      <c r="D24" s="304"/>
    </row>
    <row r="25" spans="1:4" x14ac:dyDescent="0.2">
      <c r="A25" s="424">
        <v>23</v>
      </c>
      <c r="B25" s="99" t="s">
        <v>217</v>
      </c>
      <c r="C25" s="99" t="s">
        <v>221</v>
      </c>
      <c r="D25" s="304"/>
    </row>
    <row r="26" spans="1:4" x14ac:dyDescent="0.2">
      <c r="A26" s="302">
        <v>24</v>
      </c>
      <c r="B26" s="93" t="s">
        <v>218</v>
      </c>
      <c r="C26" s="99" t="s">
        <v>222</v>
      </c>
      <c r="D26" s="304"/>
    </row>
    <row r="27" spans="1:4" x14ac:dyDescent="0.2">
      <c r="A27" s="424">
        <v>25</v>
      </c>
      <c r="B27" s="93" t="s">
        <v>218</v>
      </c>
      <c r="C27" s="99" t="s">
        <v>219</v>
      </c>
      <c r="D27" s="304"/>
    </row>
    <row r="28" spans="1:4" x14ac:dyDescent="0.2">
      <c r="C28" s="100"/>
    </row>
    <row r="29" spans="1:4" x14ac:dyDescent="0.2">
      <c r="C29" s="100"/>
    </row>
    <row r="30" spans="1:4" x14ac:dyDescent="0.2">
      <c r="C30" s="100"/>
    </row>
    <row r="31" spans="1:4" x14ac:dyDescent="0.2">
      <c r="C31" s="100"/>
    </row>
    <row r="32" spans="1:4" x14ac:dyDescent="0.2">
      <c r="C32" s="100"/>
    </row>
    <row r="33" spans="3:3" x14ac:dyDescent="0.2">
      <c r="C33" s="100"/>
    </row>
    <row r="34" spans="3:3" x14ac:dyDescent="0.2">
      <c r="C34" s="100"/>
    </row>
    <row r="35" spans="3:3" x14ac:dyDescent="0.2">
      <c r="C35" s="100"/>
    </row>
    <row r="36" spans="3:3" x14ac:dyDescent="0.2">
      <c r="C36" s="100"/>
    </row>
    <row r="37" spans="3:3" x14ac:dyDescent="0.2">
      <c r="C37" s="100"/>
    </row>
    <row r="38" spans="3:3" x14ac:dyDescent="0.2">
      <c r="C38" s="100"/>
    </row>
    <row r="39" spans="3:3" x14ac:dyDescent="0.2">
      <c r="C39" s="100"/>
    </row>
    <row r="40" spans="3:3" x14ac:dyDescent="0.2">
      <c r="C40" s="100"/>
    </row>
    <row r="41" spans="3:3" x14ac:dyDescent="0.2">
      <c r="C41" s="100"/>
    </row>
    <row r="42" spans="3:3" x14ac:dyDescent="0.2">
      <c r="C42" s="100"/>
    </row>
    <row r="43" spans="3:3" x14ac:dyDescent="0.2">
      <c r="C43" s="100"/>
    </row>
    <row r="44" spans="3:3" x14ac:dyDescent="0.2">
      <c r="C44" s="100"/>
    </row>
    <row r="45" spans="3:3" x14ac:dyDescent="0.2">
      <c r="C45" s="100"/>
    </row>
    <row r="46" spans="3:3" x14ac:dyDescent="0.2">
      <c r="C46" s="101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54"/>
  <sheetViews>
    <sheetView zoomScale="90" zoomScaleNormal="90" workbookViewId="0">
      <selection activeCell="F38" sqref="F38"/>
    </sheetView>
  </sheetViews>
  <sheetFormatPr defaultColWidth="9.33203125" defaultRowHeight="12.75" x14ac:dyDescent="0.2"/>
  <cols>
    <col min="1" max="1" width="4.5" style="111" customWidth="1"/>
    <col min="2" max="2" width="92.33203125" style="111" customWidth="1"/>
    <col min="3" max="3" width="51.5" style="111" customWidth="1"/>
    <col min="4" max="16384" width="9.33203125" style="111"/>
  </cols>
  <sheetData>
    <row r="1" spans="1:3" ht="12.75" customHeight="1" x14ac:dyDescent="0.2">
      <c r="A1" s="952" t="s">
        <v>145</v>
      </c>
      <c r="B1" s="952"/>
      <c r="C1" s="952"/>
    </row>
    <row r="2" spans="1:3" x14ac:dyDescent="0.2">
      <c r="A2" s="108" t="s">
        <v>34</v>
      </c>
      <c r="B2" s="108" t="s">
        <v>146</v>
      </c>
      <c r="C2" s="108" t="s">
        <v>35</v>
      </c>
    </row>
    <row r="3" spans="1:3" x14ac:dyDescent="0.2">
      <c r="A3" s="185">
        <v>1</v>
      </c>
      <c r="B3" s="323" t="s">
        <v>317</v>
      </c>
      <c r="C3" s="324" t="s">
        <v>483</v>
      </c>
    </row>
    <row r="4" spans="1:3" x14ac:dyDescent="0.2">
      <c r="A4" s="185">
        <v>2</v>
      </c>
      <c r="B4" s="323" t="s">
        <v>484</v>
      </c>
      <c r="C4" s="324" t="s">
        <v>485</v>
      </c>
    </row>
    <row r="5" spans="1:3" x14ac:dyDescent="0.2">
      <c r="A5" s="185">
        <v>3</v>
      </c>
      <c r="B5" s="323" t="s">
        <v>486</v>
      </c>
      <c r="C5" s="324" t="s">
        <v>487</v>
      </c>
    </row>
    <row r="6" spans="1:3" x14ac:dyDescent="0.2">
      <c r="A6" s="185">
        <v>4</v>
      </c>
      <c r="B6" s="323" t="s">
        <v>318</v>
      </c>
      <c r="C6" s="324" t="s">
        <v>488</v>
      </c>
    </row>
    <row r="7" spans="1:3" x14ac:dyDescent="0.2">
      <c r="A7" s="185">
        <v>5</v>
      </c>
      <c r="B7" s="323" t="s">
        <v>319</v>
      </c>
      <c r="C7" s="324" t="s">
        <v>489</v>
      </c>
    </row>
    <row r="8" spans="1:3" ht="25.5" x14ac:dyDescent="0.2">
      <c r="A8" s="185">
        <v>6</v>
      </c>
      <c r="B8" s="323" t="s">
        <v>320</v>
      </c>
      <c r="C8" s="324" t="s">
        <v>490</v>
      </c>
    </row>
    <row r="9" spans="1:3" x14ac:dyDescent="0.2">
      <c r="A9" s="185">
        <v>7</v>
      </c>
      <c r="B9" s="323" t="s">
        <v>321</v>
      </c>
      <c r="C9" s="324" t="s">
        <v>491</v>
      </c>
    </row>
    <row r="10" spans="1:3" x14ac:dyDescent="0.2">
      <c r="A10" s="185">
        <v>8</v>
      </c>
      <c r="B10" s="323" t="s">
        <v>492</v>
      </c>
      <c r="C10" s="324" t="s">
        <v>493</v>
      </c>
    </row>
    <row r="11" spans="1:3" ht="25.5" x14ac:dyDescent="0.2">
      <c r="A11" s="185">
        <v>9</v>
      </c>
      <c r="B11" s="323" t="s">
        <v>494</v>
      </c>
      <c r="C11" s="324" t="s">
        <v>495</v>
      </c>
    </row>
    <row r="12" spans="1:3" x14ac:dyDescent="0.2">
      <c r="A12" s="185">
        <v>10</v>
      </c>
      <c r="B12" s="325" t="s">
        <v>496</v>
      </c>
      <c r="C12" s="180">
        <v>31</v>
      </c>
    </row>
    <row r="13" spans="1:3" x14ac:dyDescent="0.2">
      <c r="A13" s="185">
        <v>11</v>
      </c>
      <c r="B13" s="323" t="s">
        <v>497</v>
      </c>
      <c r="C13" s="326">
        <v>33</v>
      </c>
    </row>
    <row r="14" spans="1:3" x14ac:dyDescent="0.2">
      <c r="A14" s="186"/>
      <c r="B14" s="187"/>
      <c r="C14" s="188"/>
    </row>
    <row r="15" spans="1:3" x14ac:dyDescent="0.2">
      <c r="A15" s="952" t="s">
        <v>138</v>
      </c>
      <c r="B15" s="952"/>
      <c r="C15" s="952"/>
    </row>
    <row r="16" spans="1:3" x14ac:dyDescent="0.2">
      <c r="A16" s="108" t="s">
        <v>34</v>
      </c>
      <c r="B16" s="108" t="s">
        <v>147</v>
      </c>
      <c r="C16" s="108" t="s">
        <v>35</v>
      </c>
    </row>
    <row r="17" spans="1:3" x14ac:dyDescent="0.2">
      <c r="A17" s="185">
        <v>1</v>
      </c>
      <c r="B17" s="109" t="s">
        <v>307</v>
      </c>
      <c r="C17" s="110">
        <v>64</v>
      </c>
    </row>
    <row r="18" spans="1:3" x14ac:dyDescent="0.2">
      <c r="A18" s="185">
        <v>2</v>
      </c>
      <c r="B18" s="325" t="s">
        <v>498</v>
      </c>
      <c r="C18" s="180">
        <v>5</v>
      </c>
    </row>
    <row r="20" spans="1:3" x14ac:dyDescent="0.2">
      <c r="A20" s="952" t="s">
        <v>99</v>
      </c>
      <c r="B20" s="952"/>
      <c r="C20" s="952"/>
    </row>
    <row r="21" spans="1:3" x14ac:dyDescent="0.2">
      <c r="A21" s="108" t="s">
        <v>34</v>
      </c>
      <c r="B21" s="108" t="s">
        <v>9</v>
      </c>
      <c r="C21" s="108" t="s">
        <v>100</v>
      </c>
    </row>
    <row r="22" spans="1:3" x14ac:dyDescent="0.2">
      <c r="A22" s="185">
        <v>1</v>
      </c>
      <c r="B22" s="189" t="s">
        <v>209</v>
      </c>
      <c r="C22" s="185" t="s">
        <v>208</v>
      </c>
    </row>
    <row r="23" spans="1:3" x14ac:dyDescent="0.2">
      <c r="A23" s="185">
        <v>2</v>
      </c>
      <c r="B23" s="189"/>
      <c r="C23" s="185"/>
    </row>
    <row r="24" spans="1:3" x14ac:dyDescent="0.2">
      <c r="B24" s="112"/>
    </row>
    <row r="25" spans="1:3" hidden="1" x14ac:dyDescent="0.2">
      <c r="A25" s="949" t="s">
        <v>322</v>
      </c>
      <c r="B25" s="949"/>
      <c r="C25" s="949"/>
    </row>
    <row r="26" spans="1:3" hidden="1" x14ac:dyDescent="0.2">
      <c r="A26" s="113" t="s">
        <v>34</v>
      </c>
      <c r="B26" s="306" t="s">
        <v>434</v>
      </c>
      <c r="C26" s="113" t="s">
        <v>309</v>
      </c>
    </row>
    <row r="27" spans="1:3" ht="27.75" hidden="1" customHeight="1" x14ac:dyDescent="0.2">
      <c r="A27" s="110">
        <v>1</v>
      </c>
      <c r="B27" s="109" t="s">
        <v>433</v>
      </c>
      <c r="C27" s="190" t="s">
        <v>435</v>
      </c>
    </row>
    <row r="28" spans="1:3" ht="25.5" hidden="1" x14ac:dyDescent="0.2">
      <c r="A28" s="110">
        <v>2</v>
      </c>
      <c r="B28" s="190" t="s">
        <v>432</v>
      </c>
      <c r="C28" s="190" t="s">
        <v>436</v>
      </c>
    </row>
    <row r="29" spans="1:3" hidden="1" x14ac:dyDescent="0.2">
      <c r="A29" s="110">
        <v>3</v>
      </c>
      <c r="B29" s="109" t="s">
        <v>405</v>
      </c>
      <c r="C29" s="190" t="s">
        <v>437</v>
      </c>
    </row>
    <row r="30" spans="1:3" ht="25.5" hidden="1" x14ac:dyDescent="0.2">
      <c r="A30" s="110">
        <v>4</v>
      </c>
      <c r="B30" s="418" t="s">
        <v>510</v>
      </c>
      <c r="C30" s="190" t="s">
        <v>438</v>
      </c>
    </row>
    <row r="31" spans="1:3" hidden="1" x14ac:dyDescent="0.2"/>
    <row r="32" spans="1:3" ht="12.75" customHeight="1" x14ac:dyDescent="0.2">
      <c r="A32" s="949" t="s">
        <v>310</v>
      </c>
      <c r="B32" s="949"/>
      <c r="C32" s="949"/>
    </row>
    <row r="33" spans="1:3" x14ac:dyDescent="0.2">
      <c r="A33" s="113" t="s">
        <v>34</v>
      </c>
      <c r="B33" s="113" t="s">
        <v>311</v>
      </c>
      <c r="C33" s="113" t="s">
        <v>309</v>
      </c>
    </row>
    <row r="34" spans="1:3" x14ac:dyDescent="0.2">
      <c r="A34" s="110">
        <v>1</v>
      </c>
      <c r="B34" s="190" t="s">
        <v>512</v>
      </c>
      <c r="C34" s="190" t="s">
        <v>439</v>
      </c>
    </row>
    <row r="35" spans="1:3" x14ac:dyDescent="0.2">
      <c r="A35" s="110">
        <v>2</v>
      </c>
      <c r="B35" s="190" t="s">
        <v>513</v>
      </c>
      <c r="C35" s="190" t="s">
        <v>439</v>
      </c>
    </row>
    <row r="36" spans="1:3" x14ac:dyDescent="0.2">
      <c r="A36" s="110">
        <v>3</v>
      </c>
      <c r="B36" s="190" t="s">
        <v>457</v>
      </c>
      <c r="C36" s="190" t="s">
        <v>440</v>
      </c>
    </row>
    <row r="37" spans="1:3" x14ac:dyDescent="0.2">
      <c r="A37" s="110">
        <v>4</v>
      </c>
      <c r="B37" s="109" t="s">
        <v>514</v>
      </c>
      <c r="C37" s="190" t="s">
        <v>441</v>
      </c>
    </row>
    <row r="38" spans="1:3" x14ac:dyDescent="0.2">
      <c r="A38" s="110">
        <v>5</v>
      </c>
      <c r="B38" s="109" t="s">
        <v>515</v>
      </c>
      <c r="C38" s="109" t="s">
        <v>441</v>
      </c>
    </row>
    <row r="39" spans="1:3" x14ac:dyDescent="0.2">
      <c r="A39" s="949" t="s">
        <v>361</v>
      </c>
      <c r="B39" s="949"/>
      <c r="C39" s="949"/>
    </row>
    <row r="40" spans="1:3" x14ac:dyDescent="0.2">
      <c r="A40" s="113" t="s">
        <v>34</v>
      </c>
      <c r="B40" s="306" t="s">
        <v>443</v>
      </c>
      <c r="C40" s="191" t="s">
        <v>362</v>
      </c>
    </row>
    <row r="41" spans="1:3" x14ac:dyDescent="0.2">
      <c r="A41" s="113">
        <v>1</v>
      </c>
      <c r="B41" s="115" t="s">
        <v>363</v>
      </c>
      <c r="C41" s="114" t="s">
        <v>364</v>
      </c>
    </row>
    <row r="42" spans="1:3" x14ac:dyDescent="0.2">
      <c r="A42" s="113">
        <v>2</v>
      </c>
      <c r="B42" s="116" t="s">
        <v>365</v>
      </c>
      <c r="C42" s="109" t="s">
        <v>366</v>
      </c>
    </row>
    <row r="43" spans="1:3" x14ac:dyDescent="0.2">
      <c r="A43" s="113">
        <v>3</v>
      </c>
      <c r="B43" s="116" t="s">
        <v>367</v>
      </c>
      <c r="C43" s="109" t="s">
        <v>368</v>
      </c>
    </row>
    <row r="44" spans="1:3" x14ac:dyDescent="0.2">
      <c r="A44" s="113">
        <v>4</v>
      </c>
      <c r="B44" s="115" t="s">
        <v>518</v>
      </c>
      <c r="C44" s="116" t="s">
        <v>502</v>
      </c>
    </row>
    <row r="45" spans="1:3" x14ac:dyDescent="0.2">
      <c r="A45" s="113">
        <v>5</v>
      </c>
      <c r="B45" s="115" t="s">
        <v>461</v>
      </c>
      <c r="C45" s="116" t="s">
        <v>504</v>
      </c>
    </row>
    <row r="46" spans="1:3" x14ac:dyDescent="0.2">
      <c r="A46" s="113"/>
      <c r="B46" s="115" t="s">
        <v>517</v>
      </c>
      <c r="C46" s="116" t="s">
        <v>504</v>
      </c>
    </row>
    <row r="47" spans="1:3" ht="15" customHeight="1" x14ac:dyDescent="0.2">
      <c r="A47" s="113">
        <v>6</v>
      </c>
      <c r="B47" s="296" t="s">
        <v>516</v>
      </c>
      <c r="C47" s="109" t="s">
        <v>503</v>
      </c>
    </row>
    <row r="48" spans="1:3" x14ac:dyDescent="0.2">
      <c r="A48" s="113">
        <v>7</v>
      </c>
      <c r="B48" s="115" t="s">
        <v>243</v>
      </c>
      <c r="C48" s="116" t="s">
        <v>462</v>
      </c>
    </row>
    <row r="49" spans="1:3" x14ac:dyDescent="0.2">
      <c r="A49" s="192"/>
      <c r="B49" s="193"/>
      <c r="C49" s="194"/>
    </row>
    <row r="50" spans="1:3" ht="39.75" customHeight="1" x14ac:dyDescent="0.2">
      <c r="A50" s="192"/>
      <c r="B50" s="950" t="s">
        <v>369</v>
      </c>
      <c r="C50" s="950"/>
    </row>
    <row r="51" spans="1:3" x14ac:dyDescent="0.2">
      <c r="A51" s="192"/>
      <c r="B51" s="950"/>
      <c r="C51" s="950"/>
    </row>
    <row r="52" spans="1:3" x14ac:dyDescent="0.2">
      <c r="A52" s="192"/>
      <c r="B52" s="195"/>
      <c r="C52" s="195"/>
    </row>
    <row r="53" spans="1:3" x14ac:dyDescent="0.2">
      <c r="B53" s="951" t="s">
        <v>442</v>
      </c>
      <c r="C53" s="951"/>
    </row>
    <row r="54" spans="1:3" x14ac:dyDescent="0.2">
      <c r="B54" s="951" t="s">
        <v>323</v>
      </c>
      <c r="C54" s="951"/>
    </row>
  </sheetData>
  <sheetProtection formatCells="0" formatColumns="0" formatRows="0" insertColumns="0" insertRows="0" insertHyperlinks="0" deleteColumns="0" deleteRows="0" sort="0" autoFilter="0" pivotTables="0"/>
  <mergeCells count="9">
    <mergeCell ref="B50:C51"/>
    <mergeCell ref="B53:C53"/>
    <mergeCell ref="B54:C54"/>
    <mergeCell ref="A1:C1"/>
    <mergeCell ref="A32:C32"/>
    <mergeCell ref="A15:C15"/>
    <mergeCell ref="A20:C20"/>
    <mergeCell ref="A25:C25"/>
    <mergeCell ref="A39:C39"/>
  </mergeCells>
  <phoneticPr fontId="6" type="noConversion"/>
  <printOptions horizontalCentered="1"/>
  <pageMargins left="0" right="0" top="0.59055118110236227" bottom="0.39370078740157483" header="0.11811023622047245" footer="0.11811023622047245"/>
  <pageSetup paperSize="8" fitToHeight="10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Титульный лист (очная)</vt:lpstr>
      <vt:lpstr>Учебный план (очная)</vt:lpstr>
      <vt:lpstr>Титульный лист (заочная)</vt:lpstr>
      <vt:lpstr>Учебный план (заочная)</vt:lpstr>
      <vt:lpstr>Сравнение УП</vt:lpstr>
      <vt:lpstr>Нормы</vt:lpstr>
      <vt:lpstr>Компетенции</vt:lpstr>
      <vt:lpstr>Материально-техническая база</vt:lpstr>
      <vt:lpstr>Примечание</vt:lpstr>
      <vt:lpstr>Нормы!Print_Area</vt:lpstr>
      <vt:lpstr>'Учебный план (очная)'!Print_Titles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</dc:creator>
  <cp:lastModifiedBy>sys-123</cp:lastModifiedBy>
  <cp:lastPrinted>2018-03-22T05:08:07Z</cp:lastPrinted>
  <dcterms:created xsi:type="dcterms:W3CDTF">2001-03-30T05:31:47Z</dcterms:created>
  <dcterms:modified xsi:type="dcterms:W3CDTF">2019-11-25T21:25:47Z</dcterms:modified>
</cp:coreProperties>
</file>