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8" yWindow="32760" windowWidth="19440" windowHeight="7920" tabRatio="838" activeTab="1"/>
  </bookViews>
  <sheets>
    <sheet name="Титульный лист (очная)" sheetId="1" r:id="rId1"/>
    <sheet name="Учебный план (очная)" sheetId="2" r:id="rId2"/>
    <sheet name="Титульный лист (заочная)" sheetId="3" r:id="rId3"/>
    <sheet name="Учебный план (заочная)" sheetId="4" r:id="rId4"/>
    <sheet name="Нормы" sheetId="5" state="hidden" r:id="rId5"/>
    <sheet name="Примечание" sheetId="6" r:id="rId6"/>
    <sheet name="Компетенции" sheetId="7" r:id="rId7"/>
    <sheet name="Материально-техническая база" sheetId="8" r:id="rId8"/>
    <sheet name="ПРОВЕРКА" sheetId="9" state="hidden" r:id="rId9"/>
    <sheet name="пояснения" sheetId="10" r:id="rId10"/>
  </sheets>
  <externalReferences>
    <externalReference r:id="rId13"/>
    <externalReference r:id="rId14"/>
  </externalReferences>
  <definedNames>
    <definedName name="_xlnm._FilterDatabase" localSheetId="3" hidden="1">'Учебный план (заочная)'!$A$8:$BK$62</definedName>
    <definedName name="_xlnm._FilterDatabase" localSheetId="1" hidden="1">'Учебный план (очная)'!$A$10:$CQ$96</definedName>
    <definedName name="_xlnm.Print_Titles" localSheetId="1">'Учебный план (очная)'!$3:$9</definedName>
    <definedName name="_xlnm.Print_Area" localSheetId="4">'Нормы'!$A$1:$I$58</definedName>
    <definedName name="_xlnm.Print_Area" localSheetId="9">'пояснения'!$A$1:$C$8</definedName>
    <definedName name="_xlnm.Print_Area" localSheetId="3">'Учебный план (заочная)'!$A$1:$BH$78</definedName>
    <definedName name="_xlnm.Print_Area" localSheetId="1">'Учебный план (очная)'!$A$3:$CQ$96</definedName>
  </definedNames>
  <calcPr fullCalcOnLoad="1" fullPrecision="0"/>
</workbook>
</file>

<file path=xl/sharedStrings.xml><?xml version="1.0" encoding="utf-8"?>
<sst xmlns="http://schemas.openxmlformats.org/spreadsheetml/2006/main" count="1936" uniqueCount="571">
  <si>
    <t>Выпускник должен обладать следующими профессиональными компетенциями (ПК):</t>
  </si>
  <si>
    <t>Всего</t>
  </si>
  <si>
    <t>из них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</si>
  <si>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</si>
  <si>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</si>
  <si>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</si>
  <si>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</si>
  <si>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</si>
  <si>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</si>
  <si>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</si>
  <si>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</si>
  <si>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</si>
  <si>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</si>
  <si>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</si>
  <si>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</si>
  <si>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</si>
  <si>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</si>
  <si>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</si>
  <si>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</si>
  <si>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</si>
  <si>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</si>
  <si>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</si>
  <si>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</si>
  <si>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</si>
  <si>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</si>
  <si>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Ректор</t>
  </si>
  <si>
    <t>1</t>
  </si>
  <si>
    <t>к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</si>
  <si>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</si>
  <si>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</si>
  <si>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</si>
  <si>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</si>
  <si>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</si>
  <si>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</si>
  <si>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</si>
  <si>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</si>
  <si>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</si>
  <si>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</si>
  <si>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</si>
  <si>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</si>
  <si>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</si>
  <si>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</si>
  <si>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</si>
  <si>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Каникулы</t>
  </si>
  <si>
    <t>Утверждаю</t>
  </si>
  <si>
    <t>Образовательная программа:</t>
  </si>
  <si>
    <t>Форма обучения:</t>
  </si>
  <si>
    <t>у</t>
  </si>
  <si>
    <t>п</t>
  </si>
  <si>
    <t>ИТОГО</t>
  </si>
  <si>
    <t>недель</t>
  </si>
  <si>
    <t>Гос. экзамены</t>
  </si>
  <si>
    <t>итог</t>
  </si>
  <si>
    <t>экзамены</t>
  </si>
  <si>
    <t>зачеты</t>
  </si>
  <si>
    <t>курсовые проекты</t>
  </si>
  <si>
    <t>курсовые работы</t>
  </si>
  <si>
    <t>лабораторных</t>
  </si>
  <si>
    <t>самостоятельной работы</t>
  </si>
  <si>
    <t>семестр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</si>
  <si>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</si>
  <si>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</si>
  <si>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</si>
  <si>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</si>
  <si>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</si>
  <si>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</si>
  <si>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</si>
  <si>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</si>
  <si>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</si>
  <si>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</si>
  <si>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</si>
  <si>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</si>
  <si>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</si>
  <si>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Количество практик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</si>
  <si>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</si>
  <si>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</si>
  <si>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</si>
  <si>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</si>
  <si>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</si>
  <si>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</si>
  <si>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</si>
  <si>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</si>
  <si>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</si>
  <si>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</si>
  <si>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</si>
  <si>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</si>
  <si>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</si>
  <si>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</si>
  <si>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</si>
  <si>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</si>
  <si>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</si>
  <si>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</si>
  <si>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</si>
  <si>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</si>
  <si>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</si>
  <si>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</si>
  <si>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</si>
  <si>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</si>
  <si>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</si>
  <si>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</si>
  <si>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</si>
  <si>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</si>
  <si>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</si>
  <si>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</si>
  <si>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</si>
  <si>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</si>
  <si>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</si>
  <si>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</si>
  <si>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</si>
  <si>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</si>
  <si>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</si>
  <si>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</si>
  <si>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</si>
  <si>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</si>
  <si>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</si>
  <si>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</si>
  <si>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</si>
  <si>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</si>
  <si>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</si>
  <si>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</si>
  <si>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</si>
  <si>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</si>
  <si>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</si>
  <si>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</si>
  <si>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ОГСЭ.00</t>
  </si>
  <si>
    <t>Общий гумманитарный и социально-экономический цикл</t>
  </si>
  <si>
    <t>Основы философии</t>
  </si>
  <si>
    <t>Всего максимальной учебной нагрузки обучающегося</t>
  </si>
  <si>
    <t>ЕН.00</t>
  </si>
  <si>
    <t>ПМ.00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</si>
  <si>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</si>
  <si>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</si>
  <si>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</si>
  <si>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</si>
  <si>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</si>
  <si>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Инженерная графика</t>
  </si>
  <si>
    <t>П.00</t>
  </si>
  <si>
    <t>ПМ.01</t>
  </si>
  <si>
    <t>ПМ.02</t>
  </si>
  <si>
    <t>ПМ.03</t>
  </si>
  <si>
    <t>ПМ.04</t>
  </si>
  <si>
    <t>Выполнение работ по одной или нескольким профессиям рабочих, должностям служащих</t>
  </si>
  <si>
    <t>УП.00</t>
  </si>
  <si>
    <t>УП.01</t>
  </si>
  <si>
    <t>ПП.00</t>
  </si>
  <si>
    <t>ПП.01</t>
  </si>
  <si>
    <t>ГИА.00</t>
  </si>
  <si>
    <t>Государственная (итоговая) аттестация</t>
  </si>
  <si>
    <t>ГИА.01</t>
  </si>
  <si>
    <t>ВЧ.01</t>
  </si>
  <si>
    <t>ВЧ.02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</si>
  <si>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</si>
  <si>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</si>
  <si>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</si>
  <si>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</si>
  <si>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</si>
  <si>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</si>
  <si>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</si>
  <si>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</si>
  <si>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</si>
  <si>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</si>
  <si>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</si>
  <si>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</si>
  <si>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</si>
  <si>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</si>
  <si>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</si>
  <si>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</si>
  <si>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</si>
  <si>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</si>
  <si>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</si>
  <si>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</si>
  <si>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</si>
  <si>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</si>
  <si>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</si>
  <si>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</si>
  <si>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</si>
  <si>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</si>
  <si>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</si>
  <si>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</si>
  <si>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Количество учебных занятий (часов) в неделю (аудиторная, самостоятельная, физическая культура, консультации и т.д.)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</si>
  <si>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</si>
  <si>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</si>
  <si>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</si>
  <si>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</si>
  <si>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</si>
  <si>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</si>
  <si>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</si>
  <si>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</si>
  <si>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</si>
  <si>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</si>
  <si>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</si>
  <si>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</si>
  <si>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</si>
  <si>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</si>
  <si>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</si>
  <si>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года</t>
  </si>
  <si>
    <t>месяцев</t>
  </si>
  <si>
    <t>&gt;2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</si>
  <si>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</si>
  <si>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</si>
  <si>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</si>
  <si>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</si>
  <si>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</si>
  <si>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</si>
  <si>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</si>
  <si>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</si>
  <si>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</si>
  <si>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</si>
  <si>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</si>
  <si>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</si>
  <si>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</si>
  <si>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</si>
  <si>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</si>
  <si>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</si>
  <si>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</si>
  <si>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</si>
  <si>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</si>
  <si>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</si>
  <si>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</si>
  <si>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</si>
  <si>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</si>
  <si>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</si>
  <si>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</si>
  <si>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</si>
  <si>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техник</t>
  </si>
  <si>
    <t>Метрология, стандартизация и сертификация</t>
  </si>
  <si>
    <t>Транспортная система России</t>
  </si>
  <si>
    <t>Технические средства (по видам транспорта)</t>
  </si>
  <si>
    <t>Правовое обеспечение профессиональной деятельности</t>
  </si>
  <si>
    <t>Охрана труда</t>
  </si>
  <si>
    <t>Организация перевозочного процесса (по видам транспорта)</t>
  </si>
  <si>
    <t>Технология перевозочного процесса (по видам транспорта)</t>
  </si>
  <si>
    <t>Информационное обеспечение перевозочного процесса (по видам транспорта)</t>
  </si>
  <si>
    <t>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</si>
  <si>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</si>
  <si>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</si>
  <si>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Организация пассажирских перевозок и обслуживание пассажиров (по видам транспорта)</t>
  </si>
  <si>
    <t>Организация транспортно-логистической деятельности (по видам транспорта)</t>
  </si>
  <si>
    <t>Обеспечение грузовых перевозок (по видам транспорта)</t>
  </si>
  <si>
    <t>Перевозка грузов на особых условиях</t>
  </si>
  <si>
    <t>Оператор диспетчерской (производственно-диспетчерской) службы</t>
  </si>
  <si>
    <t>Организация и управление безопасностью на водном транспорте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</si>
  <si>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</si>
  <si>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</si>
  <si>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</si>
  <si>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Работать в коллективе и команде, эффективно общаться с коллегами, руководством, потребителями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</si>
  <si>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</si>
  <si>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</si>
  <si>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</si>
  <si>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</si>
  <si>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Использовать информационно-коммуникационные технологии в профессиональной деятельности</t>
  </si>
  <si>
    <t>Выполнять операции по осуществлению перевозочного процесса с применением современных информационных технологий управления перевозками</t>
  </si>
  <si>
    <t>Организовывать работу персонала по обеспечению безопасности перевозок и выбору оптимальных решений при работах в условиях нестандартных и аварийных ситуаций</t>
  </si>
  <si>
    <t>Оформлять документы, регламентирующие организацию перевозочного процесса</t>
  </si>
  <si>
    <t>Организовывать работу персонала по планированию и организации перевозочного процесса</t>
  </si>
  <si>
    <t>Обеспечивать безопасность движения и решать профессиональные задачи посредством применения нормативно-правовых документов</t>
  </si>
  <si>
    <t>Организовывать работу персонала по технологическому обслуживанию перевозочного процесса</t>
  </si>
  <si>
    <t>Организовывать работу персонала по обработке перевозочных документов и осуществлению расчетов за услуги, предоставляемые транспортными организациями</t>
  </si>
  <si>
    <t>Обеспечивать осуществление процесса управления перевозками на основе логистической концепции и организовывать рациональную переработку грузов</t>
  </si>
  <si>
    <t>Применять в профессиональной деятельности основные положения, регулирующие взаимоотношения пользователей транспорта и перевозчика</t>
  </si>
  <si>
    <t>Транспортной системы России</t>
  </si>
  <si>
    <t>Информатики и информационных систем</t>
  </si>
  <si>
    <t>Методический</t>
  </si>
  <si>
    <t>Управления движением</t>
  </si>
  <si>
    <t>Технических средств (по видам транспорта)</t>
  </si>
  <si>
    <t>Организации перевозочного процесса (по видам транспорта)</t>
  </si>
  <si>
    <t>Организации сервисного обслуживания на транспорте (по видам транспорта)</t>
  </si>
  <si>
    <t>Организации транспортно-логистической деятельности (по видам транспорта)</t>
  </si>
  <si>
    <t>Иностранного языка</t>
  </si>
  <si>
    <t>Автоматизированных систем управления</t>
  </si>
  <si>
    <t>Метрологии, стандартизации и сертификации</t>
  </si>
  <si>
    <t xml:space="preserve">Охраны труда </t>
  </si>
  <si>
    <t>Безопасности жизнедеятельности</t>
  </si>
  <si>
    <t>Управления качеством и персоналом</t>
  </si>
  <si>
    <t>Основ исследовательской деятельности</t>
  </si>
  <si>
    <t>Безопасности движения</t>
  </si>
  <si>
    <t>ВЧ.04</t>
  </si>
  <si>
    <t>ВЧ.06</t>
  </si>
  <si>
    <t>Транспортно-экспедиционная деятельность (по видам транспорта)</t>
  </si>
  <si>
    <t>______________________ И.К. Кузьмичев</t>
  </si>
  <si>
    <t>Общий гуманитарный и социально-экономический цикл</t>
  </si>
  <si>
    <t>Основы делопроизводства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</si>
  <si>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</si>
  <si>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</si>
  <si>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</si>
  <si>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</si>
  <si>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</si>
  <si>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Учебная практика - 2 курс - 4 недели</t>
  </si>
  <si>
    <t>методическая комиссия профессионального цикла "Организация перевозок и управление на транспорте"</t>
  </si>
  <si>
    <t>22.04.2014 № 376</t>
  </si>
  <si>
    <t>ОК 1-9</t>
  </si>
  <si>
    <t>ОК 1-9; ПК 1.1-3.3</t>
  </si>
  <si>
    <t>ОК 1-9, ПК 1.3,2.1,3.1</t>
  </si>
  <si>
    <t>ОК 1-9, ПК 1.1,2.1,2.3,3.1</t>
  </si>
  <si>
    <t>ОК1-9; ПК 1.1,1.3,3.1,3.3</t>
  </si>
  <si>
    <t>ОК 2,3,6</t>
  </si>
  <si>
    <t>ОК 1-9, ПК 2.1,3.1</t>
  </si>
  <si>
    <t>ОК 1-9, ПК 1.1,1.2,2.2,2.3</t>
  </si>
  <si>
    <t>ОК 1-9, ПК 1.2, 2.1-2.3</t>
  </si>
  <si>
    <t>ОК 1-9, ПК 1.1-1.3,2.1-2.3</t>
  </si>
  <si>
    <t>ОК 1-9, ПК 1.1,1.2,2.1-2.3,3.2</t>
  </si>
  <si>
    <t>ОК 1-9; ПК 3.1-3.3</t>
  </si>
  <si>
    <t>ОК 1-9, ПК 1.1-1.3</t>
  </si>
  <si>
    <t>ОК 1-9; ПК 2.1-2.3</t>
  </si>
  <si>
    <t>ОК 1-9, ПК 1.1,2.2,3.3</t>
  </si>
  <si>
    <t>"Волжский государственный университет водного транспорта"</t>
  </si>
  <si>
    <t>Федеральное государственное бюджетное образовательное учреждение высшего образования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</si>
  <si>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</si>
  <si>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</si>
  <si>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</si>
  <si>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</si>
  <si>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</si>
  <si>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</si>
  <si>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</si>
  <si>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</si>
  <si>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Принято Ученым советом университета</t>
  </si>
  <si>
    <t>23.02.01 Организация перевозок и управление на транспорте (по видам)</t>
  </si>
  <si>
    <t>Перенос часов по блокам</t>
  </si>
  <si>
    <t>ПДП.01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</si>
  <si>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</si>
  <si>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</si>
  <si>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</si>
  <si>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</si>
  <si>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</si>
  <si>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</si>
  <si>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</si>
  <si>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</si>
  <si>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</si>
  <si>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</si>
  <si>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</si>
  <si>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ПК 1.1</t>
  </si>
  <si>
    <t>ПК 1.2</t>
  </si>
  <si>
    <t>ПК 1.3</t>
  </si>
  <si>
    <t>ПК 2.1</t>
  </si>
  <si>
    <t>ПК 2.2</t>
  </si>
  <si>
    <t>ПК 2.3</t>
  </si>
  <si>
    <t>ПК 3.1</t>
  </si>
  <si>
    <t>ПК 3.2</t>
  </si>
  <si>
    <t>ПК 3.3</t>
  </si>
  <si>
    <t>ОК 1-9, ПК 1.1-1.3,2.1-2.3,  3.1-3.3</t>
  </si>
  <si>
    <t>Экзамен квалификационный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</si>
  <si>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</si>
  <si>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</si>
  <si>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Добавлено часов</t>
  </si>
  <si>
    <r>
      <t>29</t>
    </r>
    <r>
      <rPr>
        <sz val="8"/>
        <rFont val="Times New Roman"/>
        <family val="1"/>
      </rPr>
      <t xml:space="preserve"> IX</t>
    </r>
  </si>
  <si>
    <r>
      <t>27</t>
    </r>
    <r>
      <rPr>
        <sz val="8"/>
        <rFont val="Times New Roman"/>
        <family val="1"/>
      </rPr>
      <t>X</t>
    </r>
  </si>
  <si>
    <r>
      <t>29</t>
    </r>
    <r>
      <rPr>
        <sz val="8"/>
        <rFont val="Times New Roman"/>
        <family val="1"/>
      </rPr>
      <t>XII</t>
    </r>
  </si>
  <si>
    <r>
      <t>26</t>
    </r>
    <r>
      <rPr>
        <sz val="8"/>
        <rFont val="Times New Roman"/>
        <family val="1"/>
      </rPr>
      <t xml:space="preserve"> I</t>
    </r>
  </si>
  <si>
    <r>
      <t>30</t>
    </r>
    <r>
      <rPr>
        <sz val="8"/>
        <rFont val="Times New Roman"/>
        <family val="1"/>
      </rPr>
      <t xml:space="preserve"> III</t>
    </r>
  </si>
  <si>
    <r>
      <t>27</t>
    </r>
    <r>
      <rPr>
        <sz val="8"/>
        <rFont val="Times New Roman"/>
        <family val="1"/>
      </rPr>
      <t xml:space="preserve"> IV</t>
    </r>
  </si>
  <si>
    <r>
      <t>29</t>
    </r>
    <r>
      <rPr>
        <sz val="8"/>
        <rFont val="Times New Roman"/>
        <family val="1"/>
      </rPr>
      <t>VI</t>
    </r>
  </si>
  <si>
    <r>
      <t>27</t>
    </r>
    <r>
      <rPr>
        <sz val="8"/>
        <rFont val="Times New Roman"/>
        <family val="1"/>
      </rPr>
      <t>VII</t>
    </r>
  </si>
  <si>
    <t xml:space="preserve"> 5  X</t>
  </si>
  <si>
    <t xml:space="preserve"> 2 XI</t>
  </si>
  <si>
    <t xml:space="preserve"> 4  I</t>
  </si>
  <si>
    <t xml:space="preserve"> 1 II</t>
  </si>
  <si>
    <t xml:space="preserve"> 1 III</t>
  </si>
  <si>
    <t xml:space="preserve"> 5 IV</t>
  </si>
  <si>
    <t xml:space="preserve"> 3 V</t>
  </si>
  <si>
    <t xml:space="preserve"> 5 VII</t>
  </si>
  <si>
    <t xml:space="preserve"> 1 VIII</t>
  </si>
  <si>
    <t>ОК 1-9, ПК 1.1-1.3; 2.1 - 2.3; 3.1-3.3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</si>
  <si>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</si>
  <si>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Коммерческая работа на транспорте</t>
  </si>
  <si>
    <t>Форма контроля</t>
  </si>
  <si>
    <t>другие формы контроля</t>
  </si>
  <si>
    <t>Страхование и риски</t>
  </si>
  <si>
    <t>ОК 1-9, ПК 3.1-3.3</t>
  </si>
  <si>
    <t>ИТОГО по часам:</t>
  </si>
  <si>
    <t>Ставок:</t>
  </si>
  <si>
    <t>Отношение кол-ва курсантов к кол-ву ставок</t>
  </si>
  <si>
    <t>Количество курсантов</t>
  </si>
  <si>
    <t>Количество часов по курсам</t>
  </si>
  <si>
    <t>Количество ставок преподавателей</t>
  </si>
  <si>
    <t>дней</t>
  </si>
  <si>
    <t>ВЧ.00</t>
  </si>
  <si>
    <t>Вариативная часть чиклов ППССЗ</t>
  </si>
  <si>
    <t>ПП. 00</t>
  </si>
  <si>
    <t xml:space="preserve">УЧЕБНЫЙ ПЛАН СРЕДНЕГО ПРОФЕССИОНАЛЬНОГО ОБРАЗОВАНИЯ </t>
  </si>
  <si>
    <r>
      <t>29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IX</t>
    </r>
  </si>
  <si>
    <r>
      <t>27</t>
    </r>
    <r>
      <rPr>
        <sz val="6"/>
        <rFont val="Times New Roman"/>
        <family val="1"/>
      </rPr>
      <t>X</t>
    </r>
  </si>
  <si>
    <r>
      <t>29</t>
    </r>
    <r>
      <rPr>
        <sz val="6"/>
        <rFont val="Times New Roman"/>
        <family val="1"/>
      </rPr>
      <t>XII</t>
    </r>
  </si>
  <si>
    <r>
      <t>26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</t>
    </r>
  </si>
  <si>
    <r>
      <t>30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III</t>
    </r>
  </si>
  <si>
    <r>
      <t>27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IV</t>
    </r>
  </si>
  <si>
    <r>
      <t>29</t>
    </r>
    <r>
      <rPr>
        <sz val="6"/>
        <rFont val="Times New Roman"/>
        <family val="1"/>
      </rPr>
      <t>VI</t>
    </r>
  </si>
  <si>
    <r>
      <t>27</t>
    </r>
    <r>
      <rPr>
        <sz val="6"/>
        <rFont val="Times New Roman"/>
        <family val="1"/>
      </rPr>
      <t>VII</t>
    </r>
  </si>
  <si>
    <r>
      <t xml:space="preserve"> 5  </t>
    </r>
    <r>
      <rPr>
        <sz val="6"/>
        <rFont val="Times New Roman"/>
        <family val="1"/>
      </rPr>
      <t>X</t>
    </r>
  </si>
  <si>
    <r>
      <t xml:space="preserve"> 2 </t>
    </r>
    <r>
      <rPr>
        <sz val="6"/>
        <rFont val="Times New Roman"/>
        <family val="1"/>
      </rPr>
      <t>XI</t>
    </r>
  </si>
  <si>
    <r>
      <t xml:space="preserve"> 4  </t>
    </r>
    <r>
      <rPr>
        <sz val="6"/>
        <rFont val="Times New Roman"/>
        <family val="1"/>
      </rPr>
      <t>I</t>
    </r>
  </si>
  <si>
    <r>
      <t xml:space="preserve"> 1 </t>
    </r>
    <r>
      <rPr>
        <sz val="6"/>
        <rFont val="Times New Roman"/>
        <family val="1"/>
      </rPr>
      <t>II</t>
    </r>
  </si>
  <si>
    <r>
      <t xml:space="preserve"> 1 </t>
    </r>
    <r>
      <rPr>
        <sz val="6"/>
        <rFont val="Times New Roman"/>
        <family val="1"/>
      </rPr>
      <t>III</t>
    </r>
  </si>
  <si>
    <r>
      <t xml:space="preserve"> 5 </t>
    </r>
    <r>
      <rPr>
        <sz val="6"/>
        <rFont val="Times New Roman"/>
        <family val="1"/>
      </rPr>
      <t>IV</t>
    </r>
  </si>
  <si>
    <r>
      <t xml:space="preserve"> 3 </t>
    </r>
    <r>
      <rPr>
        <sz val="6"/>
        <rFont val="Times New Roman"/>
        <family val="1"/>
      </rPr>
      <t>V</t>
    </r>
  </si>
  <si>
    <r>
      <t xml:space="preserve"> 5 </t>
    </r>
    <r>
      <rPr>
        <sz val="6"/>
        <rFont val="Times New Roman"/>
        <family val="1"/>
      </rPr>
      <t>VII</t>
    </r>
  </si>
  <si>
    <r>
      <t xml:space="preserve"> 1 </t>
    </r>
    <r>
      <rPr>
        <sz val="5"/>
        <rFont val="Times New Roman"/>
        <family val="1"/>
      </rPr>
      <t>VIII</t>
    </r>
  </si>
  <si>
    <t>ВЧ.03</t>
  </si>
  <si>
    <t>ВЧ.05</t>
  </si>
  <si>
    <t>Нижегородское речное училище им. И.П. Кулибина</t>
  </si>
  <si>
    <t>Управление конвенционной подготовки и повышения квалификации</t>
  </si>
  <si>
    <t>64 - 1</t>
  </si>
  <si>
    <t>64 - 2</t>
  </si>
  <si>
    <t>64 - 3</t>
  </si>
  <si>
    <t>64 - 4</t>
  </si>
  <si>
    <t>64 - 5</t>
  </si>
  <si>
    <t>64 - 6</t>
  </si>
  <si>
    <t>64 - 7</t>
  </si>
  <si>
    <t>Кафедра физического воспитания и спорта</t>
  </si>
  <si>
    <t>33</t>
  </si>
  <si>
    <t>64-1</t>
  </si>
  <si>
    <t>64-2</t>
  </si>
  <si>
    <t>64-3</t>
  </si>
  <si>
    <t>64-6</t>
  </si>
  <si>
    <t>64-9</t>
  </si>
  <si>
    <t>0,3</t>
  </si>
  <si>
    <t>ОГСЭ.00 Общий гуманитарный и социально-экономический цикл</t>
  </si>
  <si>
    <t>ЕН.00 Математический и общий естественно-научный цикл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</si>
  <si>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</si>
  <si>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</si>
  <si>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</si>
  <si>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Производственная практика - 4 курс - 9 недель</t>
  </si>
  <si>
    <t>ОП.00 Общепрофессиональные дисциплины</t>
  </si>
  <si>
    <t>ПМ.00 Профессиональные модули</t>
  </si>
  <si>
    <t>Организация доступной среды для инвалидов на транспорте</t>
  </si>
  <si>
    <t>6,8</t>
  </si>
  <si>
    <t>ОК 1-9, ПК 2.1-2.3, ПК 3.3</t>
  </si>
  <si>
    <t>3,4</t>
  </si>
  <si>
    <t>Эксплуатационное отделение</t>
  </si>
  <si>
    <t>Электротехники и электроники</t>
  </si>
  <si>
    <t>Общеобразовательных учебных дисциплин</t>
  </si>
  <si>
    <t>ОГСЭ.01.</t>
  </si>
  <si>
    <t>ОГСЭ.02.</t>
  </si>
  <si>
    <t>ОГСЭ.03.</t>
  </si>
  <si>
    <t>ОГСЭ.04.</t>
  </si>
  <si>
    <t>ЕН.01.</t>
  </si>
  <si>
    <t>ЕН.02.</t>
  </si>
  <si>
    <t>Электротехника и электроника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</si>
  <si>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</si>
  <si>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</si>
  <si>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</si>
  <si>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</si>
  <si>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</si>
  <si>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</si>
  <si>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</si>
  <si>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</si>
  <si>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МДК.02.01.</t>
  </si>
  <si>
    <t>МДК.02.02.</t>
  </si>
  <si>
    <t>МДК.01.03.</t>
  </si>
  <si>
    <t>МДК.01.02.</t>
  </si>
  <si>
    <t>МДК.01.01.</t>
  </si>
  <si>
    <t>МДК.03.01.</t>
  </si>
  <si>
    <t>МДК.03.02.</t>
  </si>
  <si>
    <t>МДК.03.03.</t>
  </si>
  <si>
    <t>Основы безопасности жизнедеятельности</t>
  </si>
  <si>
    <t>Астрономия</t>
  </si>
  <si>
    <t>Формы промежуточной аттестации</t>
  </si>
  <si>
    <t>Государственная итоговая аттестация</t>
  </si>
  <si>
    <t>Количество других форм контроля</t>
  </si>
  <si>
    <t>Количество курсовых проектов (работ)</t>
  </si>
  <si>
    <t>5,7</t>
  </si>
  <si>
    <t>3,4,5,6,7,8</t>
  </si>
  <si>
    <t>Всего часов обучения по циклам</t>
  </si>
  <si>
    <t>Всего часов на государственную итоговую аттестацию</t>
  </si>
  <si>
    <t>Количество  других форм контроля</t>
  </si>
  <si>
    <t>УП. 00</t>
  </si>
  <si>
    <t>Базовые дисциплины</t>
  </si>
  <si>
    <t>Профильные дисциплины</t>
  </si>
  <si>
    <t xml:space="preserve">3. 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и уточнений Научно-методического совета Центра профессионального образования и систем квалификации ФГАУ "ФИРО" Протокол № 3 от 25 мая 2017 года. Экзамены проводятся по дисциплинам: математика (письменно), русский язык (письменно) и физика (письменно). 
Индивидуальные проекты выполняются каждым обучающимся в течение года по одной из следующих дисциплин общеобразовательного цикла по выбору: История, Обществознание, Биология под руководством преподавателя.  </t>
  </si>
  <si>
    <t>Государственная итоговая аттестация, недель</t>
  </si>
  <si>
    <t>Дата утверждения ФГОС СПО</t>
  </si>
  <si>
    <t>Количество учебных занятий (часов) в неделю</t>
  </si>
  <si>
    <t>Общеобразовательные дисциплины</t>
  </si>
  <si>
    <t>ОК 6, ПК 2.1</t>
  </si>
  <si>
    <t>ОК 2,3, ПК 3.1</t>
  </si>
  <si>
    <t>ОК 1,9, ПК 2.3</t>
  </si>
  <si>
    <r>
      <t xml:space="preserve">1. Настоящий учебный план программы подготовки специалистов среднего звена (ППССЗ) специальности </t>
    </r>
    <r>
      <rPr>
        <sz val="10"/>
        <rFont val="Times New Roman"/>
        <family val="1"/>
      </rPr>
      <t xml:space="preserve">23.02.01 Организация перевозок и управление на транспорте (по видам) разработан в соответствии с ФГОС СПО по специальности 23.02.01 Организация перевозок и управление на транспорте (по видам), утвержденного приказом Министерства образования и науки Российской Федерации 22.04.2014 № 376,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  </r>
  </si>
  <si>
    <t xml:space="preserve">2. 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                                 
Согласно ФГОС СПО специальности 23.02.01 Организация перевозок и управление на транспорте (по видам)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 </t>
  </si>
  <si>
    <t>4. При реализации ППССЗ предусмотрена практика в количестве 29 недель, которая включает в себя учебную и производственную. Производственная практика состоит и производственной практики (по профилю специальности) и 4-х недель преддипломной практики.</t>
  </si>
  <si>
    <t>Производственная практика - 3 курс - 2 недели</t>
  </si>
  <si>
    <t>Производственная практика - 3 курс - 10 недель</t>
  </si>
  <si>
    <t xml:space="preserve">5. Промежуточная аттестация проводится по окончании каждого семестра, форма промежуточной аттестации отражена в учебном плане, рабочих программах дисциплин и профессиональных модулей.  </t>
  </si>
  <si>
    <t>Пояснения:</t>
  </si>
  <si>
    <t>7. Распределение часов из вариативной части указаны в таблице "Перенос часов по блокам".</t>
  </si>
  <si>
    <t>Организация перевозок и управление на транспорте (на водном транспорте)</t>
  </si>
  <si>
    <t>Срок обучения:</t>
  </si>
  <si>
    <t>1 курс 2020-2021</t>
  </si>
  <si>
    <t>2 курс 2021-2022</t>
  </si>
  <si>
    <t>3 курс 2022-2023</t>
  </si>
  <si>
    <t>4 курс 2023-2024</t>
  </si>
  <si>
    <t xml:space="preserve">  -   производственная практика (преддипломная)</t>
  </si>
  <si>
    <t>производственная практика (преддипломная)</t>
  </si>
  <si>
    <r>
      <t>производственная практика (по профилю спец</t>
    </r>
    <r>
      <rPr>
        <b/>
        <sz val="8"/>
        <rFont val="Times New Roman"/>
        <family val="1"/>
      </rPr>
      <t>и</t>
    </r>
    <r>
      <rPr>
        <sz val="8"/>
        <rFont val="Times New Roman"/>
        <family val="1"/>
      </rPr>
      <t>альности)</t>
    </r>
  </si>
  <si>
    <t>Федеральный государственный образовательный стандарт утвержден приказом Министерства образования и науки Российской Федерации</t>
  </si>
  <si>
    <t>Календарный учебный график</t>
  </si>
  <si>
    <t>на базе среднего общего образования</t>
  </si>
  <si>
    <t>Русский язык</t>
  </si>
  <si>
    <t>Литература</t>
  </si>
  <si>
    <t>Родной язык / Родная литература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</si>
  <si>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</si>
  <si>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</si>
  <si>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</si>
  <si>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</si>
  <si>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</si>
  <si>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</si>
  <si>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</si>
  <si>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</si>
  <si>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</si>
  <si>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</si>
  <si>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</si>
  <si>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</si>
  <si>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Предлагаемые по выбору</t>
  </si>
  <si>
    <t>Производственная практика (преддипломная)</t>
  </si>
  <si>
    <t>Оператор диспетчерской (производственно-диспетчерской службы)</t>
  </si>
  <si>
    <t>практика</t>
  </si>
  <si>
    <t>экзамен</t>
  </si>
  <si>
    <t>дифференцированный зачет</t>
  </si>
  <si>
    <t>зачет</t>
  </si>
  <si>
    <t>курсовой проект</t>
  </si>
  <si>
    <t>курсовая работа</t>
  </si>
  <si>
    <t>другая форма</t>
  </si>
  <si>
    <t>Объем часов по учебному плану</t>
  </si>
  <si>
    <t>в том числе</t>
  </si>
  <si>
    <t>ВСЕГО ЧАСОВ</t>
  </si>
  <si>
    <t>урок, практическое занятие, лекция, семинар</t>
  </si>
  <si>
    <t>лабораторное занятие</t>
  </si>
  <si>
    <t>выполнение курсового проекта (работы)</t>
  </si>
  <si>
    <t>консультация</t>
  </si>
  <si>
    <t>самостоятельная работа</t>
  </si>
  <si>
    <t>Наименование учебных циклов, разделов, дисциплин,                                                                                                   профессиональных модулей, МДК, практик</t>
  </si>
  <si>
    <t>Код предметной цикловой комиссии (кафедры)</t>
  </si>
  <si>
    <t>Коды формируемых компетенций</t>
  </si>
  <si>
    <t>ГИА</t>
  </si>
  <si>
    <t>1,2</t>
  </si>
  <si>
    <t>3,4,5,7</t>
  </si>
  <si>
    <t>Химия</t>
  </si>
  <si>
    <r>
      <t xml:space="preserve"> 23</t>
    </r>
    <r>
      <rPr>
        <sz val="8"/>
        <rFont val="Times New Roman"/>
        <family val="1"/>
      </rPr>
      <t xml:space="preserve"> II</t>
    </r>
  </si>
  <si>
    <t xml:space="preserve">Предметная цикловая комиссия общего гуманитарного и социально-экономического цикла </t>
  </si>
  <si>
    <t>Предметная цикловая комиссия математического и общего естественнонаучного цикла</t>
  </si>
  <si>
    <t>Предметная цикловая комиссия профессионального  цикла специальности «Судовождение»</t>
  </si>
  <si>
    <t>Предметная цикловая комиссия профессионального  цикла специальности «Эксплуатация судовых энергетических установок»</t>
  </si>
  <si>
    <t>Предметная цикловая комиссия профессионального  цикла специальности «Эксплуатация судового электрооборудования и средств автоматики»</t>
  </si>
  <si>
    <t xml:space="preserve">Предметная цикловая комиссия профессионального  цикла гидротехнических и  общепрофессиональных дисциплин </t>
  </si>
  <si>
    <t>Предметная цикловая комиссия профессионального  цикла специальности «Организация перевозок и управление на транспорте (по видам)»</t>
  </si>
  <si>
    <t>64-5</t>
  </si>
  <si>
    <t>64-7</t>
  </si>
  <si>
    <t>Перечень предметных цикловых комиссий (или кафедр)</t>
  </si>
  <si>
    <t>18 ч занятий из ВЧ</t>
  </si>
  <si>
    <t>Производственная практика (преддипломная) - 4 курс - 4 недели</t>
  </si>
  <si>
    <t>6. Государственная  итоговая аттестация выпускников проводится в соответствии с программой государственной итоговой аттестации, ФГОС СПО и учебным планом специальности 23.02.01 Организация перевозок и управление на транспорте (по видам) в виде подготовки и защиты выпускной квалификационной работы продолжительностью 6 недель.  Формой проведения выпускной квалификационной работы является дипломная работа.</t>
  </si>
  <si>
    <r>
      <t xml:space="preserve"> 23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</t>
    </r>
  </si>
  <si>
    <t>самостоятельная работа (осенний семестр)</t>
  </si>
  <si>
    <t>самостоятельная работа (весенний семестр)</t>
  </si>
  <si>
    <t>Производственная практика (практика по профилю специальности)</t>
  </si>
  <si>
    <t>Подготовка выпускной квалификационной работы</t>
  </si>
  <si>
    <t>ГИА.02</t>
  </si>
  <si>
    <t>Защита выпускной квалификационной работы</t>
  </si>
  <si>
    <t>1,2,3</t>
  </si>
  <si>
    <t>ПО ПРОГРАММЕ</t>
  </si>
  <si>
    <t>СТАЛО</t>
  </si>
  <si>
    <t>ПО ПРОГРАММЕ было</t>
  </si>
  <si>
    <t>Теория устройства судна</t>
  </si>
  <si>
    <t>ОК 6-8</t>
  </si>
  <si>
    <t>69 ч занятий из ВЧ</t>
  </si>
  <si>
    <t>227 ч занятий изВЧ</t>
  </si>
  <si>
    <t>442 ч из ВЧ</t>
  </si>
  <si>
    <t>Экономика и управление на водном транспорте</t>
  </si>
  <si>
    <t>5,6</t>
  </si>
  <si>
    <t>ОК 1-9, ПК 2.2</t>
  </si>
  <si>
    <t>МДК.02.03.</t>
  </si>
  <si>
    <t>Протокол №11</t>
  </si>
  <si>
    <t>в ред.30.03.2021 Протокол №7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</si>
</sst>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000"/>
    <numFmt numFmtId="187" formatCode="0.00000"/>
    <numFmt numFmtId="188" formatCode="0.0000"/>
    <numFmt numFmtId="189" formatCode="0.000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20"/>
      <color indexed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1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2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8.5"/>
      <color theme="10"/>
      <name val="Times New Roman"/>
      <family val="1"/>
    </font>
    <font>
      <u val="single"/>
      <sz val="8.5"/>
      <color theme="1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ck"/>
      <top style="thin"/>
      <bottom/>
    </border>
    <border>
      <left/>
      <right style="medium"/>
      <top/>
      <bottom style="thin"/>
    </border>
    <border>
      <left style="thick"/>
      <right/>
      <top style="thin"/>
      <bottom/>
    </border>
    <border>
      <left style="medium"/>
      <right/>
      <top style="thin"/>
      <bottom/>
    </border>
    <border>
      <left style="thick"/>
      <right/>
      <top/>
      <bottom style="thin"/>
    </border>
    <border>
      <left style="medium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>
        <color indexed="63"/>
      </top>
      <bottom style="medium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36"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2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0" fontId="8" fillId="25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" fontId="4" fillId="20" borderId="10" xfId="0" applyNumberFormat="1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3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1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18" xfId="0" applyNumberFormat="1" applyFont="1" applyFill="1" applyBorder="1" applyAlignment="1" applyProtection="1">
      <alignment horizontal="center" vertical="top" wrapText="1"/>
      <protection/>
    </xf>
    <xf numFmtId="49" fontId="0" fillId="3" borderId="19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1" fontId="0" fillId="3" borderId="14" xfId="0" applyNumberFormat="1" applyFont="1" applyFill="1" applyBorder="1" applyAlignment="1" applyProtection="1">
      <alignment horizontal="left" vertical="top" wrapText="1"/>
      <protection/>
    </xf>
    <xf numFmtId="180" fontId="0" fillId="3" borderId="14" xfId="0" applyNumberFormat="1" applyFont="1" applyFill="1" applyBorder="1" applyAlignment="1" applyProtection="1">
      <alignment horizontal="center" vertical="top" wrapText="1"/>
      <protection/>
    </xf>
    <xf numFmtId="49" fontId="0" fillId="3" borderId="15" xfId="0" applyNumberFormat="1" applyFont="1" applyFill="1" applyBorder="1" applyAlignment="1" applyProtection="1">
      <alignment vertical="top" wrapText="1"/>
      <protection/>
    </xf>
    <xf numFmtId="1" fontId="0" fillId="3" borderId="20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vertical="top" wrapText="1"/>
      <protection/>
    </xf>
    <xf numFmtId="1" fontId="0" fillId="3" borderId="21" xfId="0" applyNumberFormat="1" applyFont="1" applyFill="1" applyBorder="1" applyAlignment="1" applyProtection="1">
      <alignment horizontal="center" vertical="top" wrapText="1"/>
      <protection/>
    </xf>
    <xf numFmtId="180" fontId="0" fillId="3" borderId="16" xfId="0" applyNumberFormat="1" applyFont="1" applyFill="1" applyBorder="1" applyAlignment="1" applyProtection="1">
      <alignment horizontal="center" vertical="top" wrapText="1"/>
      <protection/>
    </xf>
    <xf numFmtId="49" fontId="0" fillId="3" borderId="18" xfId="0" applyNumberFormat="1" applyFont="1" applyFill="1" applyBorder="1" applyAlignment="1" applyProtection="1">
      <alignment horizontal="center" vertical="top" wrapText="1"/>
      <protection/>
    </xf>
    <xf numFmtId="1" fontId="0" fillId="3" borderId="22" xfId="0" applyNumberFormat="1" applyFont="1" applyFill="1" applyBorder="1" applyAlignment="1" applyProtection="1">
      <alignment horizontal="center" vertical="top" wrapText="1"/>
      <protection/>
    </xf>
    <xf numFmtId="49" fontId="0" fillId="3" borderId="23" xfId="0" applyNumberFormat="1" applyFont="1" applyFill="1" applyBorder="1" applyAlignment="1" applyProtection="1">
      <alignment horizontal="center" vertical="top" wrapText="1"/>
      <protection/>
    </xf>
    <xf numFmtId="49" fontId="0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24" xfId="0" applyFont="1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0" fontId="0" fillId="3" borderId="25" xfId="0" applyFont="1" applyFill="1" applyBorder="1" applyAlignment="1" applyProtection="1">
      <alignment horizontal="center" textRotation="90" wrapText="1"/>
      <protection/>
    </xf>
    <xf numFmtId="0" fontId="3" fillId="3" borderId="26" xfId="0" applyFont="1" applyFill="1" applyBorder="1" applyAlignment="1" applyProtection="1">
      <alignment horizontal="center" textRotation="90" wrapText="1"/>
      <protection/>
    </xf>
    <xf numFmtId="0" fontId="0" fillId="3" borderId="27" xfId="0" applyFont="1" applyFill="1" applyBorder="1" applyAlignment="1" applyProtection="1">
      <alignment horizontal="center" textRotation="90" wrapText="1"/>
      <protection/>
    </xf>
    <xf numFmtId="49" fontId="3" fillId="15" borderId="14" xfId="0" applyNumberFormat="1" applyFont="1" applyFill="1" applyBorder="1" applyAlignment="1" applyProtection="1">
      <alignment horizontal="left" vertical="center" wrapText="1"/>
      <protection/>
    </xf>
    <xf numFmtId="1" fontId="3" fillId="15" borderId="14" xfId="0" applyNumberFormat="1" applyFont="1" applyFill="1" applyBorder="1" applyAlignment="1" applyProtection="1">
      <alignment horizontal="left" vertical="center" wrapText="1"/>
      <protection/>
    </xf>
    <xf numFmtId="49" fontId="3" fillId="15" borderId="16" xfId="0" applyNumberFormat="1" applyFont="1" applyFill="1" applyBorder="1" applyAlignment="1" applyProtection="1">
      <alignment horizontal="left" vertical="center" wrapText="1"/>
      <protection/>
    </xf>
    <xf numFmtId="1" fontId="3" fillId="15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 horizontal="justify" vertical="top" wrapText="1"/>
      <protection locked="0"/>
    </xf>
    <xf numFmtId="0" fontId="3" fillId="7" borderId="13" xfId="0" applyFont="1" applyFill="1" applyBorder="1" applyAlignment="1" applyProtection="1">
      <alignment horizontal="center" vertical="top" wrapText="1"/>
      <protection/>
    </xf>
    <xf numFmtId="0" fontId="3" fillId="7" borderId="28" xfId="0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justify" vertical="top"/>
    </xf>
    <xf numFmtId="0" fontId="30" fillId="0" borderId="0" xfId="0" applyFont="1" applyAlignment="1">
      <alignment vertical="top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26" fillId="0" borderId="0" xfId="0" applyFont="1" applyBorder="1" applyAlignment="1" applyProtection="1">
      <alignment horizontal="justify" vertical="center" wrapText="1"/>
      <protection locked="0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" fontId="3" fillId="10" borderId="29" xfId="0" applyNumberFormat="1" applyFont="1" applyFill="1" applyBorder="1" applyAlignment="1" applyProtection="1">
      <alignment horizontal="center" vertical="center" wrapText="1"/>
      <protection/>
    </xf>
    <xf numFmtId="0" fontId="28" fillId="24" borderId="13" xfId="0" applyFont="1" applyFill="1" applyBorder="1" applyAlignment="1" applyProtection="1">
      <alignment horizontal="left" vertical="center" wrapText="1"/>
      <protection/>
    </xf>
    <xf numFmtId="0" fontId="3" fillId="10" borderId="30" xfId="0" applyFont="1" applyFill="1" applyBorder="1" applyAlignment="1" applyProtection="1">
      <alignment horizontal="left" vertical="center" wrapText="1"/>
      <protection/>
    </xf>
    <xf numFmtId="0" fontId="3" fillId="10" borderId="14" xfId="0" applyFont="1" applyFill="1" applyBorder="1" applyAlignment="1" applyProtection="1">
      <alignment horizontal="left" vertical="center" wrapText="1"/>
      <protection/>
    </xf>
    <xf numFmtId="49" fontId="3" fillId="10" borderId="14" xfId="0" applyNumberFormat="1" applyFont="1" applyFill="1" applyBorder="1" applyAlignment="1" applyProtection="1">
      <alignment horizontal="center" vertical="center" wrapText="1"/>
      <protection/>
    </xf>
    <xf numFmtId="1" fontId="3" fillId="10" borderId="31" xfId="0" applyNumberFormat="1" applyFont="1" applyFill="1" applyBorder="1" applyAlignment="1" applyProtection="1">
      <alignment horizontal="center" vertical="center" wrapText="1"/>
      <protection/>
    </xf>
    <xf numFmtId="1" fontId="3" fillId="10" borderId="15" xfId="0" applyNumberFormat="1" applyFont="1" applyFill="1" applyBorder="1" applyAlignment="1" applyProtection="1">
      <alignment horizontal="center" vertical="center" wrapText="1"/>
      <protection/>
    </xf>
    <xf numFmtId="1" fontId="3" fillId="1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3" fillId="10" borderId="28" xfId="0" applyNumberFormat="1" applyFont="1" applyFill="1" applyBorder="1" applyAlignment="1" applyProtection="1">
      <alignment horizontal="left" vertical="center" wrapText="1"/>
      <protection/>
    </xf>
    <xf numFmtId="1" fontId="3" fillId="10" borderId="24" xfId="0" applyNumberFormat="1" applyFont="1" applyFill="1" applyBorder="1" applyAlignment="1" applyProtection="1">
      <alignment horizontal="center" vertical="center" wrapText="1"/>
      <protection/>
    </xf>
    <xf numFmtId="49" fontId="3" fillId="1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0" fontId="3" fillId="22" borderId="30" xfId="53" applyNumberFormat="1" applyFont="1" applyFill="1" applyBorder="1" applyAlignment="1" applyProtection="1">
      <alignment horizontal="justify" vertical="center" wrapText="1"/>
      <protection/>
    </xf>
    <xf numFmtId="0" fontId="0" fillId="22" borderId="14" xfId="53" applyFont="1" applyFill="1" applyBorder="1" applyAlignment="1" applyProtection="1">
      <alignment horizontal="center" vertical="center" wrapText="1"/>
      <protection/>
    </xf>
    <xf numFmtId="0" fontId="0" fillId="22" borderId="26" xfId="53" applyFont="1" applyFill="1" applyBorder="1" applyAlignment="1" applyProtection="1">
      <alignment horizontal="center" vertical="center" wrapText="1"/>
      <protection/>
    </xf>
    <xf numFmtId="0" fontId="3" fillId="22" borderId="32" xfId="53" applyNumberFormat="1" applyFont="1" applyFill="1" applyBorder="1" applyAlignment="1" applyProtection="1">
      <alignment horizontal="justify" vertical="center" wrapText="1"/>
      <protection/>
    </xf>
    <xf numFmtId="0" fontId="0" fillId="22" borderId="16" xfId="53" applyFont="1" applyFill="1" applyBorder="1" applyAlignment="1" applyProtection="1">
      <alignment horizontal="center" vertical="center" wrapText="1"/>
      <protection/>
    </xf>
    <xf numFmtId="49" fontId="0" fillId="22" borderId="16" xfId="53" applyNumberFormat="1" applyFont="1" applyFill="1" applyBorder="1" applyAlignment="1" applyProtection="1">
      <alignment horizontal="center" vertical="center" wrapText="1" shrinkToFit="1"/>
      <protection/>
    </xf>
    <xf numFmtId="49" fontId="0" fillId="22" borderId="10" xfId="53" applyNumberFormat="1" applyFont="1" applyFill="1" applyBorder="1" applyAlignment="1" applyProtection="1">
      <alignment horizontal="center" vertical="center" wrapText="1" shrinkToFit="1"/>
      <protection/>
    </xf>
    <xf numFmtId="180" fontId="0" fillId="20" borderId="13" xfId="53" applyNumberFormat="1" applyFont="1" applyFill="1" applyBorder="1" applyAlignment="1" applyProtection="1">
      <alignment horizontal="center" vertical="center" wrapText="1"/>
      <protection/>
    </xf>
    <xf numFmtId="180" fontId="0" fillId="0" borderId="13" xfId="53" applyNumberFormat="1" applyFont="1" applyBorder="1" applyAlignment="1" applyProtection="1">
      <alignment horizontal="center" vertical="center" wrapText="1"/>
      <protection locked="0"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180" fontId="3" fillId="20" borderId="13" xfId="58" applyNumberFormat="1" applyFont="1" applyFill="1" applyBorder="1" applyAlignment="1" applyProtection="1">
      <alignment horizontal="center" vertical="center" wrapText="1"/>
      <protection/>
    </xf>
    <xf numFmtId="2" fontId="0" fillId="2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 applyProtection="1">
      <alignment vertical="center" wrapText="1"/>
      <protection/>
    </xf>
    <xf numFmtId="0" fontId="0" fillId="27" borderId="13" xfId="53" applyFont="1" applyFill="1" applyBorder="1" applyAlignment="1" applyProtection="1">
      <alignment horizontal="center"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2" fontId="27" fillId="24" borderId="13" xfId="53" applyNumberFormat="1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0" fontId="3" fillId="24" borderId="13" xfId="53" applyFont="1" applyFill="1" applyBorder="1" applyAlignment="1" applyProtection="1">
      <alignment horizontal="center" vertical="center" wrapText="1"/>
      <protection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1" fontId="27" fillId="0" borderId="13" xfId="53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3" fillId="20" borderId="13" xfId="53" applyNumberFormat="1" applyFont="1" applyFill="1" applyBorder="1" applyAlignment="1" applyProtection="1">
      <alignment horizontal="center" vertical="center" wrapText="1"/>
      <protection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27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0" fontId="3" fillId="20" borderId="13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27" fillId="0" borderId="13" xfId="53" applyNumberFormat="1" applyFont="1" applyFill="1" applyBorder="1" applyAlignment="1" applyProtection="1">
      <alignment horizontal="center" vertical="center" wrapText="1"/>
      <protection locked="0"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0" fontId="3" fillId="28" borderId="13" xfId="53" applyFont="1" applyFill="1" applyBorder="1" applyAlignment="1" applyProtection="1">
      <alignment horizontal="center" vertical="center" wrapText="1"/>
      <protection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25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 applyProtection="1">
      <alignment vertical="center" wrapText="1"/>
      <protection/>
    </xf>
    <xf numFmtId="0" fontId="29" fillId="25" borderId="13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vertical="center" wrapText="1"/>
      <protection/>
    </xf>
    <xf numFmtId="0" fontId="4" fillId="29" borderId="13" xfId="0" applyFont="1" applyFill="1" applyBorder="1" applyAlignment="1" applyProtection="1">
      <alignment vertical="center" wrapText="1"/>
      <protection/>
    </xf>
    <xf numFmtId="180" fontId="4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left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180" fontId="0" fillId="0" borderId="13" xfId="53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0" borderId="0" xfId="0" applyFont="1" applyFill="1" applyBorder="1" applyAlignment="1" applyProtection="1">
      <alignment horizontal="left" vertical="top" wrapText="1"/>
      <protection/>
    </xf>
    <xf numFmtId="0" fontId="5" fillId="31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1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vertical="top"/>
    </xf>
    <xf numFmtId="49" fontId="3" fillId="10" borderId="13" xfId="0" applyNumberFormat="1" applyFont="1" applyFill="1" applyBorder="1" applyAlignment="1" applyProtection="1">
      <alignment horizontal="center" vertical="top" wrapText="1"/>
      <protection/>
    </xf>
    <xf numFmtId="49" fontId="3" fillId="15" borderId="14" xfId="0" applyNumberFormat="1" applyFont="1" applyFill="1" applyBorder="1" applyAlignment="1" applyProtection="1">
      <alignment horizontal="left" vertical="top" wrapText="1"/>
      <protection/>
    </xf>
    <xf numFmtId="0" fontId="0" fillId="15" borderId="14" xfId="0" applyFont="1" applyFill="1" applyBorder="1" applyAlignment="1" applyProtection="1">
      <alignment horizontal="center" vertical="top" wrapText="1"/>
      <protection/>
    </xf>
    <xf numFmtId="49" fontId="3" fillId="15" borderId="16" xfId="0" applyNumberFormat="1" applyFont="1" applyFill="1" applyBorder="1" applyAlignment="1" applyProtection="1">
      <alignment horizontal="left" vertical="top" wrapText="1"/>
      <protection/>
    </xf>
    <xf numFmtId="0" fontId="0" fillId="15" borderId="16" xfId="0" applyFont="1" applyFill="1" applyBorder="1" applyAlignment="1" applyProtection="1">
      <alignment horizontal="center" vertical="top" wrapText="1"/>
      <protection/>
    </xf>
    <xf numFmtId="1" fontId="3" fillId="15" borderId="33" xfId="0" applyNumberFormat="1" applyFont="1" applyFill="1" applyBorder="1" applyAlignment="1" applyProtection="1">
      <alignment horizontal="center" vertical="top" wrapText="1"/>
      <protection/>
    </xf>
    <xf numFmtId="3" fontId="3" fillId="5" borderId="33" xfId="0" applyNumberFormat="1" applyFont="1" applyFill="1" applyBorder="1" applyAlignment="1" applyProtection="1">
      <alignment horizontal="center" vertical="top" wrapText="1"/>
      <protection/>
    </xf>
    <xf numFmtId="49" fontId="0" fillId="15" borderId="34" xfId="0" applyNumberFormat="1" applyFont="1" applyFill="1" applyBorder="1" applyAlignment="1" applyProtection="1">
      <alignment horizontal="center" vertical="top" wrapText="1"/>
      <protection/>
    </xf>
    <xf numFmtId="1" fontId="3" fillId="1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13" xfId="0" applyNumberFormat="1" applyFont="1" applyFill="1" applyBorder="1" applyAlignment="1" applyProtection="1">
      <alignment horizontal="center" vertical="top" wrapText="1"/>
      <protection/>
    </xf>
    <xf numFmtId="49" fontId="3" fillId="15" borderId="34" xfId="0" applyNumberFormat="1" applyFont="1" applyFill="1" applyBorder="1" applyAlignment="1" applyProtection="1">
      <alignment horizontal="left" vertical="top" wrapText="1"/>
      <protection/>
    </xf>
    <xf numFmtId="49" fontId="0" fillId="15" borderId="34" xfId="0" applyNumberFormat="1" applyFont="1" applyFill="1" applyBorder="1" applyAlignment="1" applyProtection="1">
      <alignment horizontal="left" vertical="top" wrapText="1"/>
      <protection/>
    </xf>
    <xf numFmtId="49" fontId="0" fillId="15" borderId="12" xfId="0" applyNumberFormat="1" applyFont="1" applyFill="1" applyBorder="1" applyAlignment="1" applyProtection="1">
      <alignment horizontal="center" vertical="top" wrapText="1"/>
      <protection/>
    </xf>
    <xf numFmtId="0" fontId="3" fillId="31" borderId="0" xfId="0" applyFont="1" applyFill="1" applyBorder="1" applyAlignment="1" applyProtection="1">
      <alignment vertical="top" wrapText="1"/>
      <protection/>
    </xf>
    <xf numFmtId="49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49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0" borderId="13" xfId="0" applyNumberFormat="1" applyFont="1" applyFill="1" applyBorder="1" applyAlignment="1" applyProtection="1">
      <alignment horizontal="center" vertical="top" wrapText="1"/>
      <protection/>
    </xf>
    <xf numFmtId="1" fontId="3" fillId="30" borderId="13" xfId="0" applyNumberFormat="1" applyFont="1" applyFill="1" applyBorder="1" applyAlignment="1" applyProtection="1">
      <alignment horizontal="center" vertical="top" wrapText="1"/>
      <protection/>
    </xf>
    <xf numFmtId="49" fontId="3" fillId="10" borderId="13" xfId="0" applyNumberFormat="1" applyFont="1" applyFill="1" applyBorder="1" applyAlignment="1" applyProtection="1">
      <alignment horizontal="left" vertical="top" wrapText="1"/>
      <protection/>
    </xf>
    <xf numFmtId="1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5" borderId="10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justify" vertical="center" wrapText="1"/>
      <protection locked="0"/>
    </xf>
    <xf numFmtId="0" fontId="3" fillId="15" borderId="35" xfId="0" applyFont="1" applyFill="1" applyBorder="1" applyAlignment="1" applyProtection="1">
      <alignment horizontal="left" vertical="top" wrapText="1"/>
      <protection/>
    </xf>
    <xf numFmtId="0" fontId="3" fillId="15" borderId="33" xfId="0" applyFont="1" applyFill="1" applyBorder="1" applyAlignment="1" applyProtection="1">
      <alignment horizontal="left" vertical="top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0" fontId="0" fillId="33" borderId="13" xfId="0" applyFill="1" applyBorder="1" applyAlignment="1">
      <alignment vertical="top"/>
    </xf>
    <xf numFmtId="1" fontId="0" fillId="33" borderId="13" xfId="0" applyNumberFormat="1" applyFill="1" applyBorder="1" applyAlignment="1">
      <alignment vertical="top"/>
    </xf>
    <xf numFmtId="1" fontId="0" fillId="0" borderId="13" xfId="0" applyNumberFormat="1" applyBorder="1" applyAlignment="1">
      <alignment vertical="top"/>
    </xf>
    <xf numFmtId="0" fontId="0" fillId="33" borderId="36" xfId="0" applyFill="1" applyBorder="1" applyAlignment="1">
      <alignment vertical="top"/>
    </xf>
    <xf numFmtId="0" fontId="0" fillId="33" borderId="37" xfId="0" applyFill="1" applyBorder="1" applyAlignment="1">
      <alignment vertical="top"/>
    </xf>
    <xf numFmtId="1" fontId="0" fillId="33" borderId="38" xfId="0" applyNumberFormat="1" applyFill="1" applyBorder="1" applyAlignment="1">
      <alignment vertical="top"/>
    </xf>
    <xf numFmtId="0" fontId="0" fillId="0" borderId="29" xfId="0" applyBorder="1" applyAlignment="1">
      <alignment vertical="top"/>
    </xf>
    <xf numFmtId="1" fontId="0" fillId="0" borderId="25" xfId="0" applyNumberFormat="1" applyBorder="1" applyAlignment="1">
      <alignment vertical="top"/>
    </xf>
    <xf numFmtId="0" fontId="0" fillId="33" borderId="29" xfId="0" applyFill="1" applyBorder="1" applyAlignment="1">
      <alignment vertical="top"/>
    </xf>
    <xf numFmtId="1" fontId="0" fillId="33" borderId="25" xfId="0" applyNumberFormat="1" applyFill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1" fontId="0" fillId="0" borderId="41" xfId="0" applyNumberFormat="1" applyBorder="1" applyAlignment="1">
      <alignment vertical="top"/>
    </xf>
    <xf numFmtId="49" fontId="0" fillId="33" borderId="13" xfId="0" applyNumberFormat="1" applyFill="1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25" xfId="0" applyBorder="1" applyAlignment="1">
      <alignment vertical="top"/>
    </xf>
    <xf numFmtId="49" fontId="0" fillId="33" borderId="29" xfId="0" applyNumberFormat="1" applyFill="1" applyBorder="1" applyAlignment="1">
      <alignment vertical="top"/>
    </xf>
    <xf numFmtId="49" fontId="0" fillId="0" borderId="29" xfId="0" applyNumberFormat="1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33" borderId="25" xfId="0" applyNumberFormat="1" applyFill="1" applyBorder="1" applyAlignment="1">
      <alignment vertical="top"/>
    </xf>
    <xf numFmtId="49" fontId="0" fillId="0" borderId="39" xfId="0" applyNumberFormat="1" applyBorder="1" applyAlignment="1">
      <alignment vertical="top"/>
    </xf>
    <xf numFmtId="49" fontId="0" fillId="0" borderId="40" xfId="0" applyNumberFormat="1" applyBorder="1" applyAlignment="1">
      <alignment vertical="top"/>
    </xf>
    <xf numFmtId="1" fontId="0" fillId="0" borderId="40" xfId="0" applyNumberFormat="1" applyBorder="1" applyAlignment="1">
      <alignment vertical="top"/>
    </xf>
    <xf numFmtId="49" fontId="0" fillId="0" borderId="41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textRotation="90" wrapText="1"/>
      <protection/>
    </xf>
    <xf numFmtId="0" fontId="3" fillId="33" borderId="16" xfId="0" applyNumberFormat="1" applyFont="1" applyFill="1" applyBorder="1" applyAlignment="1" applyProtection="1">
      <alignment horizontal="center" textRotation="90" wrapText="1"/>
      <protection/>
    </xf>
    <xf numFmtId="0" fontId="3" fillId="3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3" fillId="15" borderId="33" xfId="0" applyNumberFormat="1" applyFont="1" applyFill="1" applyBorder="1" applyAlignment="1" applyProtection="1">
      <alignment horizontal="left" vertical="top" wrapText="1"/>
      <protection/>
    </xf>
    <xf numFmtId="0" fontId="3" fillId="15" borderId="3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4" fillId="29" borderId="13" xfId="0" applyFont="1" applyFill="1" applyBorder="1" applyAlignment="1" applyProtection="1">
      <alignment vertical="top" wrapText="1"/>
      <protection/>
    </xf>
    <xf numFmtId="0" fontId="0" fillId="31" borderId="13" xfId="0" applyFont="1" applyFill="1" applyBorder="1" applyAlignment="1" applyProtection="1">
      <alignment horizontal="left" vertical="top" wrapText="1"/>
      <protection/>
    </xf>
    <xf numFmtId="0" fontId="0" fillId="31" borderId="28" xfId="0" applyFont="1" applyFill="1" applyBorder="1" applyAlignment="1" applyProtection="1">
      <alignment horizontal="left" vertical="top" wrapText="1"/>
      <protection/>
    </xf>
    <xf numFmtId="0" fontId="0" fillId="31" borderId="13" xfId="0" applyFont="1" applyFill="1" applyBorder="1" applyAlignment="1" applyProtection="1">
      <alignment horizontal="justify" vertical="top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 applyProtection="1">
      <alignment horizontal="left" vertical="center" wrapText="1"/>
      <protection locked="0"/>
    </xf>
    <xf numFmtId="49" fontId="3" fillId="3" borderId="28" xfId="0" applyNumberFormat="1" applyFont="1" applyFill="1" applyBorder="1" applyAlignment="1" applyProtection="1">
      <alignment horizontal="center" textRotation="90" wrapText="1"/>
      <protection/>
    </xf>
    <xf numFmtId="49" fontId="3" fillId="3" borderId="34" xfId="0" applyNumberFormat="1" applyFont="1" applyFill="1" applyBorder="1" applyAlignment="1" applyProtection="1">
      <alignment horizontal="center" textRotation="90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top" wrapText="1"/>
      <protection/>
    </xf>
    <xf numFmtId="0" fontId="3" fillId="30" borderId="13" xfId="0" applyFont="1" applyFill="1" applyBorder="1" applyAlignment="1" applyProtection="1">
      <alignment horizontal="left" vertical="top" wrapText="1"/>
      <protection/>
    </xf>
    <xf numFmtId="1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Font="1" applyFill="1" applyBorder="1" applyAlignment="1" applyProtection="1">
      <alignment horizontal="left" vertical="center" wrapText="1"/>
      <protection/>
    </xf>
    <xf numFmtId="1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1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3" xfId="0" applyNumberFormat="1" applyFont="1" applyFill="1" applyBorder="1" applyAlignment="1" applyProtection="1">
      <alignment horizontal="center" vertical="center" wrapText="1"/>
      <protection/>
    </xf>
    <xf numFmtId="49" fontId="0" fillId="31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6" xfId="0" applyNumberFormat="1" applyFont="1" applyFill="1" applyBorder="1" applyAlignment="1" applyProtection="1">
      <alignment vertical="top" wrapText="1"/>
      <protection/>
    </xf>
    <xf numFmtId="1" fontId="0" fillId="3" borderId="16" xfId="0" applyNumberFormat="1" applyFont="1" applyFill="1" applyBorder="1" applyAlignment="1" applyProtection="1">
      <alignment horizontal="center" vertical="top" wrapText="1"/>
      <protection/>
    </xf>
    <xf numFmtId="1" fontId="0" fillId="3" borderId="14" xfId="0" applyNumberFormat="1" applyFont="1" applyFill="1" applyBorder="1" applyAlignment="1" applyProtection="1">
      <alignment horizontal="center" vertical="top" wrapText="1"/>
      <protection/>
    </xf>
    <xf numFmtId="1" fontId="3" fillId="3" borderId="26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0" fillId="3" borderId="13" xfId="0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1" fontId="3" fillId="3" borderId="12" xfId="0" applyNumberFormat="1" applyFont="1" applyFill="1" applyBorder="1" applyAlignment="1" applyProtection="1">
      <alignment horizontal="center" textRotation="90" wrapText="1"/>
      <protection/>
    </xf>
    <xf numFmtId="0" fontId="0" fillId="3" borderId="42" xfId="0" applyFont="1" applyFill="1" applyBorder="1" applyAlignment="1" applyProtection="1">
      <alignment horizontal="center" textRotation="90" wrapText="1"/>
      <protection/>
    </xf>
    <xf numFmtId="49" fontId="0" fillId="3" borderId="26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NumberFormat="1" applyFont="1" applyFill="1" applyBorder="1" applyAlignment="1" applyProtection="1">
      <alignment horizontal="center" vertical="top" wrapText="1"/>
      <protection/>
    </xf>
    <xf numFmtId="1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30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0" borderId="13" xfId="0" applyNumberFormat="1" applyFont="1" applyFill="1" applyBorder="1" applyAlignment="1" applyProtection="1">
      <alignment horizontal="center" vertical="center" wrapText="1"/>
      <protection/>
    </xf>
    <xf numFmtId="1" fontId="0" fillId="30" borderId="13" xfId="0" applyNumberFormat="1" applyFont="1" applyFill="1" applyBorder="1" applyAlignment="1" applyProtection="1">
      <alignment horizontal="center" vertical="center" wrapText="1"/>
      <protection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49" fontId="0" fillId="32" borderId="13" xfId="0" applyNumberFormat="1" applyFont="1" applyFill="1" applyBorder="1" applyAlignment="1" applyProtection="1">
      <alignment vertical="center"/>
      <protection locked="0"/>
    </xf>
    <xf numFmtId="49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2" borderId="13" xfId="0" applyNumberFormat="1" applyFont="1" applyFill="1" applyBorder="1" applyAlignment="1" applyProtection="1">
      <alignment horizontal="left" vertical="center"/>
      <protection locked="0"/>
    </xf>
    <xf numFmtId="0" fontId="0" fillId="32" borderId="13" xfId="0" applyFont="1" applyFill="1" applyBorder="1" applyAlignment="1" applyProtection="1">
      <alignment horizontal="left" vertical="center" wrapText="1"/>
      <protection locked="0"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/>
    </xf>
    <xf numFmtId="0" fontId="0" fillId="31" borderId="13" xfId="0" applyFont="1" applyFill="1" applyBorder="1" applyAlignment="1" applyProtection="1">
      <alignment horizontal="left" vertical="center" wrapText="1"/>
      <protection/>
    </xf>
    <xf numFmtId="49" fontId="0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3" xfId="0" applyFont="1" applyFill="1" applyBorder="1" applyAlignment="1" applyProtection="1">
      <alignment horizontal="justify" vertical="center" wrapText="1"/>
      <protection locked="0"/>
    </xf>
    <xf numFmtId="0" fontId="0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vertical="center"/>
    </xf>
    <xf numFmtId="0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13" xfId="0" applyNumberFormat="1" applyFill="1" applyBorder="1" applyAlignment="1" applyProtection="1">
      <alignment horizontal="center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35" xfId="0" applyNumberFormat="1" applyFont="1" applyFill="1" applyBorder="1" applyAlignment="1" applyProtection="1">
      <alignment horizontal="center" vertical="top" wrapText="1"/>
      <protection/>
    </xf>
    <xf numFmtId="3" fontId="3" fillId="5" borderId="42" xfId="0" applyNumberFormat="1" applyFont="1" applyFill="1" applyBorder="1" applyAlignment="1" applyProtection="1">
      <alignment horizontal="center" vertical="top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49" fontId="0" fillId="32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31" borderId="13" xfId="0" applyNumberForma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33" fillId="31" borderId="13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0" fillId="36" borderId="0" xfId="0" applyFont="1" applyFill="1" applyBorder="1" applyAlignment="1">
      <alignment horizontal="center" vertical="center"/>
    </xf>
    <xf numFmtId="0" fontId="4" fillId="37" borderId="10" xfId="0" applyFont="1" applyFill="1" applyBorder="1" applyAlignment="1" applyProtection="1">
      <alignment horizontal="center" vertical="top" wrapText="1"/>
      <protection locked="0"/>
    </xf>
    <xf numFmtId="0" fontId="4" fillId="24" borderId="13" xfId="0" applyFont="1" applyFill="1" applyBorder="1" applyAlignment="1">
      <alignment horizontal="center" vertical="top" wrapText="1"/>
    </xf>
    <xf numFmtId="0" fontId="4" fillId="10" borderId="13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31" fillId="31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10" borderId="13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42" xfId="0" applyFont="1" applyFill="1" applyBorder="1" applyAlignment="1" applyProtection="1">
      <alignment horizontal="center" vertical="top" wrapText="1"/>
      <protection locked="0"/>
    </xf>
    <xf numFmtId="0" fontId="4" fillId="0" borderId="35" xfId="0" applyFont="1" applyFill="1" applyBorder="1" applyAlignment="1" applyProtection="1">
      <alignment horizontal="center" vertical="top" wrapText="1"/>
      <protection locked="0"/>
    </xf>
    <xf numFmtId="0" fontId="4" fillId="0" borderId="33" xfId="0" applyFont="1" applyFill="1" applyBorder="1" applyAlignment="1" applyProtection="1">
      <alignment horizontal="center" vertical="top" wrapText="1"/>
      <protection locked="0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49" fontId="3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0" borderId="13" xfId="0" applyFont="1" applyFill="1" applyBorder="1" applyAlignment="1" applyProtection="1">
      <alignment horizontal="left" vertical="center" wrapText="1"/>
      <protection/>
    </xf>
    <xf numFmtId="1" fontId="31" fillId="1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31" fillId="31" borderId="13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8" borderId="13" xfId="0" applyNumberFormat="1" applyFont="1" applyFill="1" applyBorder="1" applyAlignment="1" applyProtection="1">
      <alignment horizontal="center" vertical="center" wrapText="1"/>
      <protection/>
    </xf>
    <xf numFmtId="1" fontId="31" fillId="26" borderId="13" xfId="0" applyNumberFormat="1" applyFont="1" applyFill="1" applyBorder="1" applyAlignment="1" applyProtection="1">
      <alignment horizontal="center" vertical="center" wrapText="1"/>
      <protection/>
    </xf>
    <xf numFmtId="1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>
      <alignment vertical="top"/>
    </xf>
    <xf numFmtId="49" fontId="31" fillId="0" borderId="13" xfId="0" applyNumberFormat="1" applyFont="1" applyFill="1" applyBorder="1" applyAlignment="1" applyProtection="1">
      <alignment vertical="center" wrapText="1"/>
      <protection locked="0"/>
    </xf>
    <xf numFmtId="0" fontId="31" fillId="0" borderId="13" xfId="0" applyFont="1" applyBorder="1" applyAlignment="1">
      <alignment horizontal="center" vertical="center"/>
    </xf>
    <xf numFmtId="0" fontId="31" fillId="31" borderId="0" xfId="0" applyFont="1" applyFill="1" applyAlignment="1">
      <alignment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1" fontId="31" fillId="31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31" borderId="0" xfId="0" applyNumberFormat="1" applyFont="1" applyFill="1" applyBorder="1" applyAlignment="1" applyProtection="1">
      <alignment horizontal="center" vertical="center" wrapText="1"/>
      <protection/>
    </xf>
    <xf numFmtId="49" fontId="31" fillId="31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1" fontId="31" fillId="31" borderId="13" xfId="0" applyNumberFormat="1" applyFont="1" applyFill="1" applyBorder="1" applyAlignment="1" applyProtection="1">
      <alignment horizontal="center" vertical="center" wrapText="1"/>
      <protection/>
    </xf>
    <xf numFmtId="0" fontId="31" fillId="10" borderId="13" xfId="0" applyFont="1" applyFill="1" applyBorder="1" applyAlignment="1" applyProtection="1">
      <alignment horizontal="left" vertical="center" wrapText="1"/>
      <protection/>
    </xf>
    <xf numFmtId="49" fontId="31" fillId="1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49" fontId="31" fillId="31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4" borderId="13" xfId="0" applyNumberFormat="1" applyFont="1" applyFill="1" applyBorder="1" applyAlignment="1" applyProtection="1">
      <alignment horizontal="center" vertical="center" wrapText="1"/>
      <protection/>
    </xf>
    <xf numFmtId="49" fontId="31" fillId="34" borderId="13" xfId="0" applyNumberFormat="1" applyFont="1" applyFill="1" applyBorder="1" applyAlignment="1" applyProtection="1">
      <alignment horizontal="center" vertical="center" wrapText="1"/>
      <protection/>
    </xf>
    <xf numFmtId="49" fontId="3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31" borderId="13" xfId="0" applyNumberFormat="1" applyFont="1" applyFill="1" applyBorder="1" applyAlignment="1" applyProtection="1">
      <alignment horizontal="left" vertical="center" wrapText="1"/>
      <protection locked="0"/>
    </xf>
    <xf numFmtId="0" fontId="31" fillId="31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0" fontId="31" fillId="0" borderId="13" xfId="0" applyFont="1" applyFill="1" applyBorder="1" applyAlignment="1" applyProtection="1">
      <alignment horizontal="justify" vertical="center" wrapText="1"/>
      <protection locked="0"/>
    </xf>
    <xf numFmtId="0" fontId="34" fillId="24" borderId="13" xfId="0" applyFont="1" applyFill="1" applyBorder="1" applyAlignment="1" applyProtection="1">
      <alignment horizontal="left" vertical="center" wrapText="1"/>
      <protection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/>
    </xf>
    <xf numFmtId="1" fontId="5" fillId="24" borderId="13" xfId="0" applyNumberFormat="1" applyFont="1" applyFill="1" applyBorder="1" applyAlignment="1" applyProtection="1">
      <alignment horizontal="center" vertical="center" wrapText="1"/>
      <protection/>
    </xf>
    <xf numFmtId="1" fontId="34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1" fontId="5" fillId="10" borderId="13" xfId="0" applyNumberFormat="1" applyFont="1" applyFill="1" applyBorder="1" applyAlignment="1" applyProtection="1">
      <alignment horizontal="center" vertical="center" wrapText="1"/>
      <protection/>
    </xf>
    <xf numFmtId="49" fontId="5" fillId="10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3" xfId="0" applyNumberFormat="1" applyFont="1" applyFill="1" applyBorder="1" applyAlignment="1" applyProtection="1">
      <alignment horizontal="center" vertical="center" wrapText="1"/>
      <protection/>
    </xf>
    <xf numFmtId="1" fontId="5" fillId="31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31" borderId="0" xfId="0" applyNumberFormat="1" applyFont="1" applyFill="1" applyBorder="1" applyAlignment="1" applyProtection="1">
      <alignment horizontal="center" vertical="center" wrapText="1"/>
      <protection/>
    </xf>
    <xf numFmtId="49" fontId="5" fillId="31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5" fillId="31" borderId="0" xfId="0" applyFont="1" applyFill="1" applyAlignment="1">
      <alignment/>
    </xf>
    <xf numFmtId="0" fontId="5" fillId="0" borderId="0" xfId="0" applyFont="1" applyAlignment="1">
      <alignment/>
    </xf>
    <xf numFmtId="0" fontId="5" fillId="10" borderId="13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3" fillId="3" borderId="35" xfId="0" applyFont="1" applyFill="1" applyBorder="1" applyAlignment="1" applyProtection="1">
      <alignment horizontal="center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49" fontId="3" fillId="3" borderId="22" xfId="0" applyNumberFormat="1" applyFont="1" applyFill="1" applyBorder="1" applyAlignment="1" applyProtection="1">
      <alignment horizontal="center" vertical="top" wrapText="1"/>
      <protection/>
    </xf>
    <xf numFmtId="0" fontId="3" fillId="3" borderId="42" xfId="0" applyFont="1" applyFill="1" applyBorder="1" applyAlignment="1" applyProtection="1">
      <alignment horizontal="center" vertical="top" wrapText="1"/>
      <protection/>
    </xf>
    <xf numFmtId="49" fontId="3" fillId="3" borderId="43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vertical="top" wrapText="1"/>
      <protection/>
    </xf>
    <xf numFmtId="49" fontId="3" fillId="3" borderId="16" xfId="0" applyNumberFormat="1" applyFont="1" applyFill="1" applyBorder="1" applyAlignment="1" applyProtection="1">
      <alignment vertical="top" wrapText="1"/>
      <protection/>
    </xf>
    <xf numFmtId="49" fontId="0" fillId="25" borderId="0" xfId="0" applyNumberFormat="1" applyFont="1" applyFill="1" applyBorder="1" applyAlignment="1" applyProtection="1">
      <alignment horizontal="center" vertical="top" wrapText="1"/>
      <protection/>
    </xf>
    <xf numFmtId="49" fontId="0" fillId="25" borderId="0" xfId="0" applyNumberFormat="1" applyFont="1" applyFill="1" applyBorder="1" applyAlignment="1" applyProtection="1">
      <alignment horizontal="left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49" fontId="34" fillId="32" borderId="13" xfId="0" applyNumberFormat="1" applyFont="1" applyFill="1" applyBorder="1" applyAlignment="1" applyProtection="1">
      <alignment vertical="center"/>
      <protection locked="0"/>
    </xf>
    <xf numFmtId="0" fontId="5" fillId="32" borderId="13" xfId="0" applyFont="1" applyFill="1" applyBorder="1" applyAlignment="1">
      <alignment vertical="top"/>
    </xf>
    <xf numFmtId="0" fontId="5" fillId="38" borderId="13" xfId="0" applyNumberFormat="1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>
      <alignment horizontal="center" vertical="top"/>
    </xf>
    <xf numFmtId="1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8" borderId="13" xfId="0" applyNumberFormat="1" applyFont="1" applyFill="1" applyBorder="1" applyAlignment="1" applyProtection="1">
      <alignment horizontal="center" vertical="center" wrapText="1"/>
      <protection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3" xfId="0" applyFont="1" applyFill="1" applyBorder="1" applyAlignment="1" applyProtection="1">
      <alignment horizontal="center" vertical="center" wrapText="1"/>
      <protection locked="0"/>
    </xf>
    <xf numFmtId="49" fontId="34" fillId="38" borderId="13" xfId="0" applyNumberFormat="1" applyFont="1" applyFill="1" applyBorder="1" applyAlignment="1" applyProtection="1">
      <alignment vertical="center"/>
      <protection locked="0"/>
    </xf>
    <xf numFmtId="49" fontId="5" fillId="38" borderId="13" xfId="0" applyNumberFormat="1" applyFont="1" applyFill="1" applyBorder="1" applyAlignment="1" applyProtection="1">
      <alignment horizontal="center" vertical="center"/>
      <protection locked="0"/>
    </xf>
    <xf numFmtId="0" fontId="0" fillId="31" borderId="0" xfId="0" applyFont="1" applyFill="1" applyBorder="1" applyAlignment="1" applyProtection="1">
      <alignment vertical="top" wrapText="1"/>
      <protection/>
    </xf>
    <xf numFmtId="0" fontId="0" fillId="31" borderId="0" xfId="0" applyFont="1" applyFill="1" applyBorder="1" applyAlignment="1" applyProtection="1">
      <alignment horizontal="center" vertical="top" wrapText="1"/>
      <protection/>
    </xf>
    <xf numFmtId="0" fontId="5" fillId="31" borderId="0" xfId="0" applyFont="1" applyFill="1" applyBorder="1" applyAlignment="1" applyProtection="1">
      <alignment vertical="center" wrapText="1"/>
      <protection/>
    </xf>
    <xf numFmtId="0" fontId="5" fillId="31" borderId="0" xfId="0" applyFont="1" applyFill="1" applyBorder="1" applyAlignment="1" applyProtection="1">
      <alignment vertical="center" wrapText="1"/>
      <protection locked="0"/>
    </xf>
    <xf numFmtId="0" fontId="3" fillId="31" borderId="0" xfId="0" applyFont="1" applyFill="1" applyBorder="1" applyAlignment="1" applyProtection="1">
      <alignment vertical="center" wrapText="1"/>
      <protection/>
    </xf>
    <xf numFmtId="49" fontId="3" fillId="10" borderId="42" xfId="0" applyNumberFormat="1" applyFont="1" applyFill="1" applyBorder="1" applyAlignment="1" applyProtection="1">
      <alignment horizontal="center" vertical="center" wrapText="1"/>
      <protection/>
    </xf>
    <xf numFmtId="0" fontId="31" fillId="33" borderId="13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/>
    </xf>
    <xf numFmtId="0" fontId="0" fillId="31" borderId="0" xfId="0" applyFont="1" applyFill="1" applyAlignment="1">
      <alignment vertical="top" wrapText="1"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0" fontId="0" fillId="31" borderId="13" xfId="0" applyFon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1" fontId="0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8" borderId="13" xfId="0" applyNumberFormat="1" applyFont="1" applyFill="1" applyBorder="1" applyAlignment="1" applyProtection="1">
      <alignment horizontal="center" vertical="center" wrapText="1"/>
      <protection/>
    </xf>
    <xf numFmtId="1" fontId="0" fillId="39" borderId="13" xfId="0" applyNumberFormat="1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Border="1" applyAlignment="1" applyProtection="1">
      <alignment horizontal="left" vertical="top"/>
      <protection/>
    </xf>
    <xf numFmtId="49" fontId="3" fillId="40" borderId="14" xfId="0" applyNumberFormat="1" applyFont="1" applyFill="1" applyBorder="1" applyAlignment="1" applyProtection="1">
      <alignment horizontal="center" vertical="top" wrapText="1"/>
      <protection/>
    </xf>
    <xf numFmtId="49" fontId="3" fillId="40" borderId="0" xfId="0" applyNumberFormat="1" applyFont="1" applyFill="1" applyBorder="1" applyAlignment="1" applyProtection="1">
      <alignment horizontal="center" vertical="top" wrapText="1"/>
      <protection/>
    </xf>
    <xf numFmtId="49" fontId="3" fillId="40" borderId="44" xfId="0" applyNumberFormat="1" applyFont="1" applyFill="1" applyBorder="1" applyAlignment="1" applyProtection="1">
      <alignment horizontal="center" textRotation="90" wrapText="1"/>
      <protection/>
    </xf>
    <xf numFmtId="0" fontId="3" fillId="40" borderId="13" xfId="0" applyFont="1" applyFill="1" applyBorder="1" applyAlignment="1" applyProtection="1">
      <alignment horizontal="center" vertical="top" wrapText="1"/>
      <protection/>
    </xf>
    <xf numFmtId="0" fontId="5" fillId="40" borderId="13" xfId="0" applyFont="1" applyFill="1" applyBorder="1" applyAlignment="1" applyProtection="1">
      <alignment horizontal="left" vertical="center" wrapText="1"/>
      <protection/>
    </xf>
    <xf numFmtId="0" fontId="5" fillId="40" borderId="33" xfId="0" applyFont="1" applyFill="1" applyBorder="1" applyAlignment="1" applyProtection="1">
      <alignment horizontal="left" vertical="center" wrapText="1"/>
      <protection/>
    </xf>
    <xf numFmtId="49" fontId="31" fillId="4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40" borderId="33" xfId="0" applyFont="1" applyFill="1" applyBorder="1" applyAlignment="1" applyProtection="1">
      <alignment horizontal="left" vertical="center" wrapText="1"/>
      <protection locked="0"/>
    </xf>
    <xf numFmtId="49" fontId="34" fillId="40" borderId="13" xfId="0" applyNumberFormat="1" applyFont="1" applyFill="1" applyBorder="1" applyAlignment="1" applyProtection="1">
      <alignment vertical="center"/>
      <protection locked="0"/>
    </xf>
    <xf numFmtId="0" fontId="5" fillId="40" borderId="13" xfId="0" applyFont="1" applyFill="1" applyBorder="1" applyAlignment="1">
      <alignment vertical="top"/>
    </xf>
    <xf numFmtId="49" fontId="31" fillId="40" borderId="13" xfId="0" applyNumberFormat="1" applyFont="1" applyFill="1" applyBorder="1" applyAlignment="1" applyProtection="1">
      <alignment horizontal="center" vertical="center" wrapText="1"/>
      <protection/>
    </xf>
    <xf numFmtId="49" fontId="3" fillId="40" borderId="14" xfId="0" applyNumberFormat="1" applyFont="1" applyFill="1" applyBorder="1" applyAlignment="1" applyProtection="1">
      <alignment horizontal="center" vertical="center" wrapText="1"/>
      <protection/>
    </xf>
    <xf numFmtId="49" fontId="0" fillId="40" borderId="0" xfId="0" applyNumberFormat="1" applyFont="1" applyFill="1" applyBorder="1" applyAlignment="1" applyProtection="1">
      <alignment horizontal="left" vertical="top" wrapText="1"/>
      <protection/>
    </xf>
    <xf numFmtId="189" fontId="5" fillId="40" borderId="33" xfId="0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49" fontId="0" fillId="31" borderId="13" xfId="0" applyNumberFormat="1" applyFont="1" applyFill="1" applyBorder="1" applyAlignment="1" applyProtection="1">
      <alignment horizontal="center" vertical="center" wrapText="1"/>
      <protection/>
    </xf>
    <xf numFmtId="49" fontId="0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 applyProtection="1">
      <alignment horizontal="center" vertical="center" wrapText="1"/>
      <protection/>
    </xf>
    <xf numFmtId="0" fontId="0" fillId="3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1" fontId="5" fillId="1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1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42" xfId="0" applyNumberFormat="1" applyFont="1" applyFill="1" applyBorder="1" applyAlignment="1" applyProtection="1">
      <alignment horizontal="center" vertical="top" wrapText="1"/>
      <protection/>
    </xf>
    <xf numFmtId="1" fontId="3" fillId="5" borderId="35" xfId="0" applyNumberFormat="1" applyFont="1" applyFill="1" applyBorder="1" applyAlignment="1" applyProtection="1">
      <alignment horizontal="center" vertical="top" wrapText="1"/>
      <protection/>
    </xf>
    <xf numFmtId="0" fontId="3" fillId="15" borderId="44" xfId="0" applyNumberFormat="1" applyFont="1" applyFill="1" applyBorder="1" applyAlignment="1" applyProtection="1">
      <alignment horizontal="left" vertical="center" wrapText="1"/>
      <protection/>
    </xf>
    <xf numFmtId="1" fontId="3" fillId="5" borderId="13" xfId="0" applyNumberFormat="1" applyFont="1" applyFill="1" applyBorder="1" applyAlignment="1" applyProtection="1">
      <alignment horizontal="center" vertical="top" wrapText="1"/>
      <protection/>
    </xf>
    <xf numFmtId="1" fontId="3" fillId="5" borderId="3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15" borderId="34" xfId="0" applyNumberFormat="1" applyFont="1" applyFill="1" applyBorder="1" applyAlignment="1" applyProtection="1">
      <alignment horizontal="center" vertical="top" wrapText="1"/>
      <protection/>
    </xf>
    <xf numFmtId="0" fontId="0" fillId="31" borderId="0" xfId="0" applyFont="1" applyFill="1" applyAlignment="1" applyProtection="1">
      <alignment vertical="center" wrapText="1"/>
      <protection locked="0"/>
    </xf>
    <xf numFmtId="0" fontId="0" fillId="31" borderId="42" xfId="0" applyFill="1" applyBorder="1" applyAlignment="1" applyProtection="1">
      <alignment vertical="center" wrapText="1"/>
      <protection/>
    </xf>
    <xf numFmtId="0" fontId="0" fillId="31" borderId="13" xfId="0" applyFont="1" applyFill="1" applyBorder="1" applyAlignment="1" applyProtection="1">
      <alignment horizontal="justify" vertical="center" wrapText="1"/>
      <protection locked="0"/>
    </xf>
    <xf numFmtId="0" fontId="0" fillId="31" borderId="13" xfId="0" applyFill="1" applyBorder="1" applyAlignment="1" applyProtection="1">
      <alignment vertical="center" wrapText="1"/>
      <protection/>
    </xf>
    <xf numFmtId="0" fontId="0" fillId="31" borderId="13" xfId="0" applyFont="1" applyFill="1" applyBorder="1" applyAlignment="1">
      <alignment horizontal="justify" vertical="center"/>
    </xf>
    <xf numFmtId="0" fontId="0" fillId="31" borderId="13" xfId="0" applyFill="1" applyBorder="1" applyAlignment="1" applyProtection="1">
      <alignment horizontal="justify" vertical="center" wrapText="1"/>
      <protection locked="0"/>
    </xf>
    <xf numFmtId="0" fontId="0" fillId="31" borderId="13" xfId="0" applyFont="1" applyFill="1" applyBorder="1" applyAlignment="1">
      <alignment horizontal="justify" vertical="center" wrapText="1"/>
    </xf>
    <xf numFmtId="0" fontId="0" fillId="31" borderId="13" xfId="0" applyFont="1" applyFill="1" applyBorder="1" applyAlignment="1" applyProtection="1">
      <alignment horizontal="center" vertical="top" wrapText="1"/>
      <protection/>
    </xf>
    <xf numFmtId="0" fontId="0" fillId="31" borderId="13" xfId="0" applyFont="1" applyFill="1" applyBorder="1" applyAlignment="1" applyProtection="1">
      <alignment horizontal="center" vertical="top" wrapText="1"/>
      <protection/>
    </xf>
    <xf numFmtId="0" fontId="44" fillId="31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5" fillId="30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7" borderId="28" xfId="0" applyFont="1" applyFill="1" applyBorder="1" applyAlignment="1">
      <alignment horizontal="center" textRotation="90" wrapText="1"/>
    </xf>
    <xf numFmtId="0" fontId="4" fillId="7" borderId="34" xfId="0" applyFont="1" applyFill="1" applyBorder="1" applyAlignment="1">
      <alignment horizontal="center" textRotation="90" wrapText="1"/>
    </xf>
    <xf numFmtId="0" fontId="4" fillId="7" borderId="12" xfId="0" applyFont="1" applyFill="1" applyBorder="1" applyAlignment="1">
      <alignment horizontal="center" textRotation="90" wrapText="1"/>
    </xf>
    <xf numFmtId="0" fontId="4" fillId="7" borderId="30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  <xf numFmtId="0" fontId="4" fillId="7" borderId="32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0" fillId="26" borderId="0" xfId="0" applyFill="1" applyBorder="1" applyAlignment="1">
      <alignment horizontal="justify" vertical="top" wrapText="1"/>
    </xf>
    <xf numFmtId="0" fontId="0" fillId="26" borderId="0" xfId="0" applyFont="1" applyFill="1" applyBorder="1" applyAlignment="1">
      <alignment horizontal="justify" vertical="top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7" borderId="30" xfId="0" applyFont="1" applyFill="1" applyBorder="1" applyAlignment="1">
      <alignment horizontal="center" vertical="center" textRotation="90" wrapText="1"/>
    </xf>
    <xf numFmtId="0" fontId="4" fillId="7" borderId="14" xfId="0" applyFont="1" applyFill="1" applyBorder="1" applyAlignment="1">
      <alignment horizontal="center" vertical="center" textRotation="90" wrapText="1"/>
    </xf>
    <xf numFmtId="0" fontId="4" fillId="7" borderId="26" xfId="0" applyFont="1" applyFill="1" applyBorder="1" applyAlignment="1">
      <alignment horizontal="center" vertical="center" textRotation="90" wrapText="1"/>
    </xf>
    <xf numFmtId="0" fontId="4" fillId="7" borderId="44" xfId="0" applyFont="1" applyFill="1" applyBorder="1" applyAlignment="1">
      <alignment horizontal="center" vertical="center" textRotation="90" wrapText="1"/>
    </xf>
    <xf numFmtId="0" fontId="4" fillId="7" borderId="0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4" fillId="7" borderId="32" xfId="0" applyFont="1" applyFill="1" applyBorder="1" applyAlignment="1">
      <alignment horizontal="center" vertical="center" textRotation="90" wrapText="1"/>
    </xf>
    <xf numFmtId="0" fontId="4" fillId="7" borderId="16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  <xf numFmtId="0" fontId="0" fillId="26" borderId="0" xfId="0" applyFont="1" applyFill="1" applyAlignment="1">
      <alignment vertical="top" wrapText="1"/>
    </xf>
    <xf numFmtId="0" fontId="4" fillId="7" borderId="28" xfId="0" applyFont="1" applyFill="1" applyBorder="1" applyAlignment="1">
      <alignment vertical="center" textRotation="90" wrapText="1"/>
    </xf>
    <xf numFmtId="0" fontId="6" fillId="0" borderId="3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6" borderId="0" xfId="0" applyFill="1" applyAlignment="1">
      <alignment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top"/>
    </xf>
    <xf numFmtId="0" fontId="31" fillId="26" borderId="0" xfId="0" applyFont="1" applyFill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14" fontId="0" fillId="31" borderId="0" xfId="0" applyNumberFormat="1" applyFont="1" applyFill="1" applyAlignment="1" applyProtection="1">
      <alignment horizontal="justify" vertical="top" wrapText="1"/>
      <protection locked="0"/>
    </xf>
    <xf numFmtId="0" fontId="0" fillId="26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ill="1" applyAlignment="1">
      <alignment horizontal="center" vertical="top" wrapText="1"/>
    </xf>
    <xf numFmtId="0" fontId="0" fillId="26" borderId="0" xfId="0" applyFont="1" applyFill="1" applyAlignment="1">
      <alignment horizontal="center" vertical="top" wrapText="1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7" fillId="26" borderId="0" xfId="0" applyFont="1" applyFill="1" applyBorder="1" applyAlignment="1">
      <alignment horizontal="center" vertical="top" wrapText="1"/>
    </xf>
    <xf numFmtId="0" fontId="4" fillId="7" borderId="42" xfId="0" applyFont="1" applyFill="1" applyBorder="1" applyAlignment="1">
      <alignment horizontal="center" vertical="top" wrapText="1"/>
    </xf>
    <xf numFmtId="0" fontId="4" fillId="7" borderId="35" xfId="0" applyFont="1" applyFill="1" applyBorder="1" applyAlignment="1">
      <alignment horizontal="center" vertical="top" wrapText="1"/>
    </xf>
    <xf numFmtId="0" fontId="4" fillId="7" borderId="33" xfId="0" applyFont="1" applyFill="1" applyBorder="1" applyAlignment="1">
      <alignment horizontal="center" vertical="top" wrapText="1"/>
    </xf>
    <xf numFmtId="0" fontId="4" fillId="26" borderId="14" xfId="0" applyFont="1" applyFill="1" applyBorder="1" applyAlignment="1">
      <alignment horizontal="left" vertical="top" wrapText="1"/>
    </xf>
    <xf numFmtId="0" fontId="4" fillId="26" borderId="0" xfId="0" applyFont="1" applyFill="1" applyAlignment="1">
      <alignment horizontal="left" vertical="top" wrapText="1"/>
    </xf>
    <xf numFmtId="0" fontId="4" fillId="26" borderId="0" xfId="0" applyFont="1" applyFill="1" applyAlignment="1">
      <alignment horizontal="justify" vertical="top" wrapText="1"/>
    </xf>
    <xf numFmtId="0" fontId="4" fillId="20" borderId="13" xfId="0" applyFont="1" applyFill="1" applyBorder="1" applyAlignment="1">
      <alignment vertical="top" wrapText="1"/>
    </xf>
    <xf numFmtId="0" fontId="4" fillId="26" borderId="11" xfId="0" applyFont="1" applyFill="1" applyBorder="1" applyAlignment="1">
      <alignment horizontal="left" vertical="top" wrapText="1"/>
    </xf>
    <xf numFmtId="0" fontId="4" fillId="26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4" fillId="26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49" fontId="3" fillId="3" borderId="20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21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1" fontId="0" fillId="3" borderId="16" xfId="0" applyNumberFormat="1" applyFont="1" applyFill="1" applyBorder="1" applyAlignment="1" applyProtection="1">
      <alignment horizontal="left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0" fontId="5" fillId="24" borderId="42" xfId="0" applyFont="1" applyFill="1" applyBorder="1" applyAlignment="1" applyProtection="1">
      <alignment horizontal="left" vertical="center" wrapText="1"/>
      <protection/>
    </xf>
    <xf numFmtId="0" fontId="5" fillId="24" borderId="35" xfId="0" applyFont="1" applyFill="1" applyBorder="1" applyAlignment="1" applyProtection="1">
      <alignment horizontal="left" vertical="center" wrapText="1"/>
      <protection/>
    </xf>
    <xf numFmtId="0" fontId="5" fillId="24" borderId="33" xfId="0" applyFont="1" applyFill="1" applyBorder="1" applyAlignment="1" applyProtection="1">
      <alignment horizontal="left" vertical="center" wrapText="1"/>
      <protection/>
    </xf>
    <xf numFmtId="49" fontId="0" fillId="3" borderId="30" xfId="0" applyNumberFormat="1" applyFont="1" applyFill="1" applyBorder="1" applyAlignment="1" applyProtection="1">
      <alignment horizontal="left" vertical="top" wrapText="1"/>
      <protection/>
    </xf>
    <xf numFmtId="1" fontId="0" fillId="3" borderId="32" xfId="0" applyNumberForma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center" wrapText="1"/>
      <protection locked="0"/>
    </xf>
    <xf numFmtId="0" fontId="5" fillId="34" borderId="35" xfId="0" applyFont="1" applyFill="1" applyBorder="1" applyAlignment="1" applyProtection="1">
      <alignment horizontal="left" vertical="center" wrapText="1"/>
      <protection locked="0"/>
    </xf>
    <xf numFmtId="0" fontId="5" fillId="34" borderId="33" xfId="0" applyFont="1" applyFill="1" applyBorder="1" applyAlignment="1" applyProtection="1">
      <alignment horizontal="left" vertical="center" wrapText="1"/>
      <protection locked="0"/>
    </xf>
    <xf numFmtId="49" fontId="3" fillId="3" borderId="28" xfId="0" applyNumberFormat="1" applyFont="1" applyFill="1" applyBorder="1" applyAlignment="1" applyProtection="1">
      <alignment horizontal="center" textRotation="90" wrapText="1"/>
      <protection/>
    </xf>
    <xf numFmtId="49" fontId="3" fillId="3" borderId="34" xfId="0" applyNumberFormat="1" applyFont="1" applyFill="1" applyBorder="1" applyAlignment="1" applyProtection="1">
      <alignment horizontal="center" textRotation="90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3" fillId="41" borderId="28" xfId="0" applyFont="1" applyFill="1" applyBorder="1" applyAlignment="1" applyProtection="1">
      <alignment horizontal="center" vertical="center" wrapText="1"/>
      <protection/>
    </xf>
    <xf numFmtId="0" fontId="3" fillId="41" borderId="34" xfId="0" applyFont="1" applyFill="1" applyBorder="1" applyAlignment="1" applyProtection="1">
      <alignment horizontal="center" vertical="center" wrapText="1"/>
      <protection/>
    </xf>
    <xf numFmtId="0" fontId="3" fillId="3" borderId="28" xfId="0" applyFont="1" applyFill="1" applyBorder="1" applyAlignment="1" applyProtection="1">
      <alignment horizontal="center" textRotation="90" wrapText="1"/>
      <protection/>
    </xf>
    <xf numFmtId="0" fontId="3" fillId="3" borderId="34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0" fontId="5" fillId="30" borderId="42" xfId="0" applyFont="1" applyFill="1" applyBorder="1" applyAlignment="1" applyProtection="1">
      <alignment horizontal="left" vertical="center" wrapText="1"/>
      <protection/>
    </xf>
    <xf numFmtId="0" fontId="5" fillId="30" borderId="35" xfId="0" applyFont="1" applyFill="1" applyBorder="1" applyAlignment="1" applyProtection="1">
      <alignment horizontal="left" vertical="center" wrapText="1"/>
      <protection/>
    </xf>
    <xf numFmtId="0" fontId="5" fillId="30" borderId="33" xfId="0" applyFont="1" applyFill="1" applyBorder="1" applyAlignment="1" applyProtection="1">
      <alignment horizontal="left" vertical="center" wrapText="1"/>
      <protection/>
    </xf>
    <xf numFmtId="0" fontId="34" fillId="33" borderId="13" xfId="0" applyFont="1" applyFill="1" applyBorder="1" applyAlignment="1" applyProtection="1">
      <alignment horizontal="left" vertical="center" wrapText="1"/>
      <protection/>
    </xf>
    <xf numFmtId="49" fontId="3" fillId="41" borderId="30" xfId="0" applyNumberFormat="1" applyFont="1" applyFill="1" applyBorder="1" applyAlignment="1" applyProtection="1">
      <alignment horizontal="center" textRotation="90" wrapText="1"/>
      <protection/>
    </xf>
    <xf numFmtId="49" fontId="3" fillId="41" borderId="44" xfId="0" applyNumberFormat="1" applyFont="1" applyFill="1" applyBorder="1" applyAlignment="1" applyProtection="1">
      <alignment horizontal="center" textRotation="90" wrapText="1"/>
      <protection/>
    </xf>
    <xf numFmtId="0" fontId="5" fillId="24" borderId="42" xfId="0" applyFont="1" applyFill="1" applyBorder="1" applyAlignment="1" applyProtection="1">
      <alignment horizontal="left" vertical="center"/>
      <protection/>
    </xf>
    <xf numFmtId="0" fontId="5" fillId="24" borderId="35" xfId="0" applyFont="1" applyFill="1" applyBorder="1" applyAlignment="1" applyProtection="1">
      <alignment horizontal="left" vertical="center"/>
      <protection/>
    </xf>
    <xf numFmtId="0" fontId="5" fillId="24" borderId="33" xfId="0" applyFont="1" applyFill="1" applyBorder="1" applyAlignment="1" applyProtection="1">
      <alignment horizontal="left" vertical="center"/>
      <protection/>
    </xf>
    <xf numFmtId="0" fontId="34" fillId="24" borderId="42" xfId="0" applyFont="1" applyFill="1" applyBorder="1" applyAlignment="1" applyProtection="1">
      <alignment horizontal="left" vertical="center" wrapText="1"/>
      <protection/>
    </xf>
    <xf numFmtId="0" fontId="34" fillId="24" borderId="35" xfId="0" applyFont="1" applyFill="1" applyBorder="1" applyAlignment="1" applyProtection="1">
      <alignment horizontal="left" vertical="center" wrapText="1"/>
      <protection/>
    </xf>
    <xf numFmtId="0" fontId="34" fillId="24" borderId="33" xfId="0" applyFont="1" applyFill="1" applyBorder="1" applyAlignment="1" applyProtection="1">
      <alignment horizontal="left" vertical="center" wrapText="1"/>
      <protection/>
    </xf>
    <xf numFmtId="0" fontId="3" fillId="15" borderId="32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3" fillId="3" borderId="42" xfId="0" applyFont="1" applyFill="1" applyBorder="1" applyAlignment="1" applyProtection="1">
      <alignment horizontal="center" vertical="top" wrapText="1"/>
      <protection/>
    </xf>
    <xf numFmtId="0" fontId="5" fillId="30" borderId="13" xfId="0" applyFont="1" applyFill="1" applyBorder="1" applyAlignment="1" applyProtection="1">
      <alignment horizontal="left" vertical="center" wrapText="1"/>
      <protection/>
    </xf>
    <xf numFmtId="0" fontId="3" fillId="15" borderId="30" xfId="0" applyNumberFormat="1" applyFont="1" applyFill="1" applyBorder="1" applyAlignment="1" applyProtection="1">
      <alignment horizontal="left" vertical="center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3" borderId="28" xfId="0" applyFont="1" applyFill="1" applyBorder="1" applyAlignment="1" applyProtection="1">
      <alignment horizontal="center" textRotation="90" wrapText="1"/>
      <protection/>
    </xf>
    <xf numFmtId="0" fontId="3" fillId="3" borderId="34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49" fontId="3" fillId="3" borderId="30" xfId="0" applyNumberFormat="1" applyFont="1" applyFill="1" applyBorder="1" applyAlignment="1" applyProtection="1">
      <alignment horizontal="center" vertical="top" wrapText="1"/>
      <protection/>
    </xf>
    <xf numFmtId="49" fontId="3" fillId="3" borderId="32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49" fontId="3" fillId="3" borderId="16" xfId="0" applyNumberFormat="1" applyFont="1" applyFill="1" applyBorder="1" applyAlignment="1" applyProtection="1">
      <alignment horizontal="right" vertical="top" wrapText="1"/>
      <protection/>
    </xf>
    <xf numFmtId="49" fontId="3" fillId="3" borderId="45" xfId="0" applyNumberFormat="1" applyFont="1" applyFill="1" applyBorder="1" applyAlignment="1" applyProtection="1">
      <alignment horizontal="center" vertical="top" wrapText="1"/>
      <protection/>
    </xf>
    <xf numFmtId="49" fontId="3" fillId="3" borderId="28" xfId="0" applyNumberFormat="1" applyFont="1" applyFill="1" applyBorder="1" applyAlignment="1" applyProtection="1">
      <alignment horizontal="center" vertical="center" wrapText="1"/>
      <protection/>
    </xf>
    <xf numFmtId="49" fontId="3" fillId="3" borderId="34" xfId="0" applyNumberFormat="1" applyFont="1" applyFill="1" applyBorder="1" applyAlignment="1" applyProtection="1">
      <alignment horizontal="center" vertical="center" wrapText="1"/>
      <protection/>
    </xf>
    <xf numFmtId="49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42" xfId="0" applyFont="1" applyFill="1" applyBorder="1" applyAlignment="1" applyProtection="1">
      <alignment horizontal="center" vertical="top" wrapText="1"/>
      <protection/>
    </xf>
    <xf numFmtId="0" fontId="3" fillId="3" borderId="35" xfId="0" applyFont="1" applyFill="1" applyBorder="1" applyAlignment="1" applyProtection="1">
      <alignment horizontal="center" vertical="top" wrapText="1"/>
      <protection/>
    </xf>
    <xf numFmtId="0" fontId="3" fillId="3" borderId="33" xfId="0" applyFont="1" applyFill="1" applyBorder="1" applyAlignment="1" applyProtection="1">
      <alignment horizontal="center" vertical="top" wrapText="1"/>
      <protection/>
    </xf>
    <xf numFmtId="49" fontId="3" fillId="3" borderId="46" xfId="0" applyNumberFormat="1" applyFont="1" applyFill="1" applyBorder="1" applyAlignment="1" applyProtection="1">
      <alignment horizontal="center" vertical="top" wrapText="1"/>
      <protection/>
    </xf>
    <xf numFmtId="49" fontId="3" fillId="3" borderId="18" xfId="0" applyNumberFormat="1" applyFont="1" applyFill="1" applyBorder="1" applyAlignment="1" applyProtection="1">
      <alignment horizontal="center" vertical="top" wrapText="1"/>
      <protection/>
    </xf>
    <xf numFmtId="49" fontId="3" fillId="3" borderId="22" xfId="0" applyNumberFormat="1" applyFont="1" applyFill="1" applyBorder="1" applyAlignment="1" applyProtection="1">
      <alignment horizontal="center" vertical="top" wrapText="1"/>
      <protection/>
    </xf>
    <xf numFmtId="49" fontId="3" fillId="3" borderId="47" xfId="0" applyNumberFormat="1" applyFont="1" applyFill="1" applyBorder="1" applyAlignment="1" applyProtection="1">
      <alignment horizontal="center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3" fillId="3" borderId="30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32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1" fontId="3" fillId="3" borderId="30" xfId="0" applyNumberFormat="1" applyFont="1" applyFill="1" applyBorder="1" applyAlignment="1" applyProtection="1">
      <alignment horizontal="center" vertical="top" wrapText="1"/>
      <protection/>
    </xf>
    <xf numFmtId="1" fontId="3" fillId="3" borderId="26" xfId="0" applyNumberFormat="1" applyFont="1" applyFill="1" applyBorder="1" applyAlignment="1" applyProtection="1">
      <alignment horizontal="center" vertical="top" wrapText="1"/>
      <protection/>
    </xf>
    <xf numFmtId="1" fontId="3" fillId="3" borderId="44" xfId="0" applyNumberFormat="1" applyFont="1" applyFill="1" applyBorder="1" applyAlignment="1" applyProtection="1">
      <alignment horizontal="center" vertical="top" wrapText="1"/>
      <protection/>
    </xf>
    <xf numFmtId="1" fontId="3" fillId="3" borderId="11" xfId="0" applyNumberFormat="1" applyFont="1" applyFill="1" applyBorder="1" applyAlignment="1" applyProtection="1">
      <alignment horizontal="center" vertical="top" wrapText="1"/>
      <protection/>
    </xf>
    <xf numFmtId="1" fontId="3" fillId="3" borderId="32" xfId="0" applyNumberFormat="1" applyFont="1" applyFill="1" applyBorder="1" applyAlignment="1" applyProtection="1">
      <alignment horizontal="center" vertical="top" wrapText="1"/>
      <protection/>
    </xf>
    <xf numFmtId="1" fontId="3" fillId="3" borderId="10" xfId="0" applyNumberFormat="1" applyFont="1" applyFill="1" applyBorder="1" applyAlignment="1" applyProtection="1">
      <alignment horizontal="center" vertical="top" wrapText="1"/>
      <protection/>
    </xf>
    <xf numFmtId="0" fontId="0" fillId="25" borderId="16" xfId="0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4" fontId="0" fillId="31" borderId="0" xfId="0" applyNumberFormat="1" applyFont="1" applyFill="1" applyBorder="1" applyAlignment="1" applyProtection="1">
      <alignment horizontal="left" vertical="top" wrapText="1"/>
      <protection locked="0"/>
    </xf>
    <xf numFmtId="0" fontId="0" fillId="26" borderId="0" xfId="0" applyFill="1" applyBorder="1" applyAlignment="1">
      <alignment horizontal="center" vertical="top" wrapText="1"/>
    </xf>
    <xf numFmtId="1" fontId="0" fillId="31" borderId="0" xfId="0" applyNumberFormat="1" applyFont="1" applyFill="1" applyBorder="1" applyAlignment="1" applyProtection="1">
      <alignment horizontal="center" vertical="top" wrapText="1"/>
      <protection locked="0"/>
    </xf>
    <xf numFmtId="0" fontId="8" fillId="7" borderId="30" xfId="0" applyFont="1" applyFill="1" applyBorder="1" applyAlignment="1">
      <alignment horizontal="center" vertical="center" textRotation="90" wrapText="1"/>
    </xf>
    <xf numFmtId="0" fontId="8" fillId="7" borderId="14" xfId="0" applyFont="1" applyFill="1" applyBorder="1" applyAlignment="1">
      <alignment horizontal="center" vertical="center" textRotation="90" wrapText="1"/>
    </xf>
    <xf numFmtId="0" fontId="8" fillId="7" borderId="26" xfId="0" applyFont="1" applyFill="1" applyBorder="1" applyAlignment="1">
      <alignment horizontal="center" vertical="center" textRotation="90" wrapText="1"/>
    </xf>
    <xf numFmtId="0" fontId="8" fillId="7" borderId="44" xfId="0" applyFont="1" applyFill="1" applyBorder="1" applyAlignment="1">
      <alignment horizontal="center" vertical="center" textRotation="90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7" borderId="11" xfId="0" applyFont="1" applyFill="1" applyBorder="1" applyAlignment="1">
      <alignment horizontal="center" vertical="center" textRotation="90" wrapText="1"/>
    </xf>
    <xf numFmtId="0" fontId="8" fillId="7" borderId="32" xfId="0" applyFont="1" applyFill="1" applyBorder="1" applyAlignment="1">
      <alignment horizontal="center" vertical="center" textRotation="90" wrapText="1"/>
    </xf>
    <xf numFmtId="0" fontId="8" fillId="7" borderId="16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center" vertical="center" textRotation="90" wrapText="1"/>
    </xf>
    <xf numFmtId="0" fontId="8" fillId="7" borderId="28" xfId="0" applyFont="1" applyFill="1" applyBorder="1" applyAlignment="1">
      <alignment horizontal="center" textRotation="90" wrapText="1"/>
    </xf>
    <xf numFmtId="0" fontId="8" fillId="7" borderId="34" xfId="0" applyFont="1" applyFill="1" applyBorder="1" applyAlignment="1">
      <alignment horizontal="center" textRotation="90" wrapText="1"/>
    </xf>
    <xf numFmtId="0" fontId="8" fillId="7" borderId="12" xfId="0" applyFont="1" applyFill="1" applyBorder="1" applyAlignment="1">
      <alignment horizontal="center" textRotation="90" wrapText="1"/>
    </xf>
    <xf numFmtId="0" fontId="4" fillId="20" borderId="13" xfId="0" applyFont="1" applyFill="1" applyBorder="1" applyAlignment="1">
      <alignment vertical="top" wrapText="1"/>
    </xf>
    <xf numFmtId="0" fontId="4" fillId="26" borderId="14" xfId="0" applyFont="1" applyFill="1" applyBorder="1" applyAlignment="1">
      <alignment horizontal="left" vertical="top" wrapText="1"/>
    </xf>
    <xf numFmtId="0" fontId="0" fillId="34" borderId="42" xfId="0" applyFont="1" applyFill="1" applyBorder="1" applyAlignment="1" applyProtection="1">
      <alignment horizontal="left" vertical="center" wrapText="1"/>
      <protection locked="0"/>
    </xf>
    <xf numFmtId="0" fontId="0" fillId="34" borderId="35" xfId="0" applyFont="1" applyFill="1" applyBorder="1" applyAlignment="1" applyProtection="1">
      <alignment horizontal="left" vertical="center" wrapText="1"/>
      <protection locked="0"/>
    </xf>
    <xf numFmtId="0" fontId="0" fillId="34" borderId="33" xfId="0" applyFont="1" applyFill="1" applyBorder="1" applyAlignment="1" applyProtection="1">
      <alignment horizontal="left" vertical="center" wrapText="1"/>
      <protection locked="0"/>
    </xf>
    <xf numFmtId="49" fontId="0" fillId="34" borderId="42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35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0" xfId="0" applyNumberFormat="1" applyFont="1" applyFill="1" applyBorder="1" applyAlignment="1" applyProtection="1">
      <alignment horizontal="center" vertical="center" wrapText="1"/>
      <protection/>
    </xf>
    <xf numFmtId="49" fontId="3" fillId="3" borderId="14" xfId="0" applyNumberFormat="1" applyFont="1" applyFill="1" applyBorder="1" applyAlignment="1" applyProtection="1">
      <alignment horizontal="center" vertical="center" wrapText="1"/>
      <protection/>
    </xf>
    <xf numFmtId="49" fontId="3" fillId="3" borderId="32" xfId="0" applyNumberFormat="1" applyFont="1" applyFill="1" applyBorder="1" applyAlignment="1" applyProtection="1">
      <alignment horizontal="center" vertical="center" wrapText="1"/>
      <protection/>
    </xf>
    <xf numFmtId="49" fontId="3" fillId="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0" xfId="0" applyBorder="1" applyAlignment="1">
      <alignment vertical="top"/>
    </xf>
    <xf numFmtId="0" fontId="28" fillId="33" borderId="42" xfId="0" applyFont="1" applyFill="1" applyBorder="1" applyAlignment="1" applyProtection="1">
      <alignment horizontal="left" vertical="center" wrapText="1"/>
      <protection/>
    </xf>
    <xf numFmtId="0" fontId="28" fillId="33" borderId="35" xfId="0" applyFont="1" applyFill="1" applyBorder="1" applyAlignment="1" applyProtection="1">
      <alignment horizontal="left" vertical="center" wrapText="1"/>
      <protection/>
    </xf>
    <xf numFmtId="0" fontId="28" fillId="33" borderId="33" xfId="0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 applyProtection="1">
      <alignment horizontal="left" vertical="center" wrapText="1"/>
      <protection/>
    </xf>
    <xf numFmtId="0" fontId="0" fillId="33" borderId="35" xfId="0" applyFont="1" applyFill="1" applyBorder="1" applyAlignment="1" applyProtection="1">
      <alignment horizontal="left" vertical="center" wrapText="1"/>
      <protection/>
    </xf>
    <xf numFmtId="0" fontId="0" fillId="33" borderId="33" xfId="0" applyFont="1" applyFill="1" applyBorder="1" applyAlignment="1" applyProtection="1">
      <alignment horizontal="left" vertical="center" wrapText="1"/>
      <protection/>
    </xf>
    <xf numFmtId="0" fontId="0" fillId="30" borderId="42" xfId="0" applyFont="1" applyFill="1" applyBorder="1" applyAlignment="1" applyProtection="1">
      <alignment horizontal="left" vertical="center" wrapText="1"/>
      <protection/>
    </xf>
    <xf numFmtId="0" fontId="0" fillId="30" borderId="35" xfId="0" applyFont="1" applyFill="1" applyBorder="1" applyAlignment="1" applyProtection="1">
      <alignment horizontal="left" vertical="center" wrapText="1"/>
      <protection/>
    </xf>
    <xf numFmtId="0" fontId="0" fillId="30" borderId="33" xfId="0" applyFont="1" applyFill="1" applyBorder="1" applyAlignment="1" applyProtection="1">
      <alignment horizontal="left" vertical="center" wrapText="1"/>
      <protection/>
    </xf>
    <xf numFmtId="0" fontId="3" fillId="41" borderId="28" xfId="0" applyFont="1" applyFill="1" applyBorder="1" applyAlignment="1" applyProtection="1">
      <alignment horizontal="center" textRotation="90" wrapText="1"/>
      <protection/>
    </xf>
    <xf numFmtId="0" fontId="3" fillId="41" borderId="34" xfId="0" applyFont="1" applyFill="1" applyBorder="1" applyAlignment="1" applyProtection="1">
      <alignment horizontal="center" textRotation="90" wrapText="1"/>
      <protection/>
    </xf>
    <xf numFmtId="0" fontId="3" fillId="3" borderId="42" xfId="0" applyFont="1" applyFill="1" applyBorder="1" applyAlignment="1" applyProtection="1">
      <alignment horizontal="center" textRotation="90" wrapText="1"/>
      <protection/>
    </xf>
    <xf numFmtId="0" fontId="3" fillId="3" borderId="30" xfId="0" applyFont="1" applyFill="1" applyBorder="1" applyAlignment="1" applyProtection="1">
      <alignment horizontal="center" textRotation="90" wrapText="1"/>
      <protection/>
    </xf>
    <xf numFmtId="0" fontId="3" fillId="3" borderId="16" xfId="0" applyFont="1" applyFill="1" applyBorder="1" applyAlignment="1" applyProtection="1">
      <alignment horizontal="center" vertical="top" wrapText="1"/>
      <protection/>
    </xf>
    <xf numFmtId="0" fontId="3" fillId="3" borderId="10" xfId="0" applyFont="1" applyFill="1" applyBorder="1" applyAlignment="1" applyProtection="1">
      <alignment horizontal="center" vertical="top" wrapText="1"/>
      <protection/>
    </xf>
    <xf numFmtId="0" fontId="3" fillId="3" borderId="32" xfId="0" applyFont="1" applyFill="1" applyBorder="1" applyAlignment="1" applyProtection="1">
      <alignment horizontal="center" vertical="top" wrapText="1"/>
      <protection/>
    </xf>
    <xf numFmtId="0" fontId="3" fillId="3" borderId="32" xfId="0" applyFont="1" applyFill="1" applyBorder="1" applyAlignment="1" applyProtection="1">
      <alignment horizontal="right" vertical="top" wrapText="1"/>
      <protection/>
    </xf>
    <xf numFmtId="0" fontId="3" fillId="3" borderId="16" xfId="0" applyFont="1" applyFill="1" applyBorder="1" applyAlignment="1" applyProtection="1">
      <alignment horizontal="right" vertical="top" wrapText="1"/>
      <protection/>
    </xf>
    <xf numFmtId="0" fontId="3" fillId="3" borderId="10" xfId="0" applyFont="1" applyFill="1" applyBorder="1" applyAlignment="1" applyProtection="1">
      <alignment horizontal="right" vertical="top" wrapText="1"/>
      <protection/>
    </xf>
    <xf numFmtId="1" fontId="0" fillId="3" borderId="32" xfId="0" applyNumberFormat="1" applyFont="1" applyFill="1" applyBorder="1" applyAlignment="1" applyProtection="1">
      <alignment horizontal="left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Border="1" applyAlignment="1">
      <alignment vertical="top"/>
    </xf>
    <xf numFmtId="0" fontId="0" fillId="0" borderId="12" xfId="0" applyBorder="1" applyAlignment="1">
      <alignment vertical="top"/>
    </xf>
    <xf numFmtId="0" fontId="3" fillId="15" borderId="42" xfId="0" applyFont="1" applyFill="1" applyBorder="1" applyAlignment="1" applyProtection="1">
      <alignment horizontal="left" vertical="top" wrapText="1"/>
      <protection/>
    </xf>
    <xf numFmtId="0" fontId="3" fillId="15" borderId="35" xfId="0" applyFont="1" applyFill="1" applyBorder="1" applyAlignment="1" applyProtection="1">
      <alignment horizontal="left" vertical="top" wrapText="1"/>
      <protection/>
    </xf>
    <xf numFmtId="0" fontId="3" fillId="15" borderId="33" xfId="0" applyFont="1" applyFill="1" applyBorder="1" applyAlignment="1" applyProtection="1">
      <alignment horizontal="left" vertical="top" wrapText="1"/>
      <protection/>
    </xf>
    <xf numFmtId="0" fontId="0" fillId="15" borderId="42" xfId="0" applyFont="1" applyFill="1" applyBorder="1" applyAlignment="1" applyProtection="1">
      <alignment horizontal="left" vertical="top" wrapText="1"/>
      <protection/>
    </xf>
    <xf numFmtId="0" fontId="0" fillId="15" borderId="35" xfId="0" applyFont="1" applyFill="1" applyBorder="1" applyAlignment="1" applyProtection="1">
      <alignment horizontal="left" vertical="top" wrapText="1"/>
      <protection/>
    </xf>
    <xf numFmtId="1" fontId="3" fillId="5" borderId="27" xfId="0" applyNumberFormat="1" applyFont="1" applyFill="1" applyBorder="1" applyAlignment="1" applyProtection="1">
      <alignment horizontal="center" vertical="top" wrapText="1"/>
      <protection/>
    </xf>
    <xf numFmtId="1" fontId="3" fillId="5" borderId="48" xfId="0" applyNumberFormat="1" applyFont="1" applyFill="1" applyBorder="1" applyAlignment="1" applyProtection="1">
      <alignment horizontal="center" vertical="top" wrapText="1"/>
      <protection/>
    </xf>
    <xf numFmtId="1" fontId="3" fillId="5" borderId="49" xfId="0" applyNumberFormat="1" applyFont="1" applyFill="1" applyBorder="1" applyAlignment="1" applyProtection="1">
      <alignment horizontal="center" vertical="top" wrapText="1"/>
      <protection/>
    </xf>
    <xf numFmtId="1" fontId="0" fillId="5" borderId="27" xfId="0" applyNumberFormat="1" applyFont="1" applyFill="1" applyBorder="1" applyAlignment="1" applyProtection="1">
      <alignment horizontal="center" vertical="top" wrapText="1"/>
      <protection/>
    </xf>
    <xf numFmtId="1" fontId="0" fillId="5" borderId="48" xfId="0" applyNumberFormat="1" applyFont="1" applyFill="1" applyBorder="1" applyAlignment="1" applyProtection="1">
      <alignment horizontal="center" vertical="top" wrapText="1"/>
      <protection/>
    </xf>
    <xf numFmtId="1" fontId="0" fillId="5" borderId="24" xfId="0" applyNumberFormat="1" applyFont="1" applyFill="1" applyBorder="1" applyAlignment="1" applyProtection="1">
      <alignment horizontal="center" vertical="top" wrapText="1"/>
      <protection/>
    </xf>
    <xf numFmtId="1" fontId="0" fillId="5" borderId="50" xfId="0" applyNumberFormat="1" applyFont="1" applyFill="1" applyBorder="1" applyAlignment="1" applyProtection="1">
      <alignment horizontal="center" vertical="top" wrapText="1"/>
      <protection/>
    </xf>
    <xf numFmtId="1" fontId="0" fillId="5" borderId="49" xfId="0" applyNumberFormat="1" applyFont="1" applyFill="1" applyBorder="1" applyAlignment="1" applyProtection="1">
      <alignment horizontal="center" vertical="top" wrapText="1"/>
      <protection/>
    </xf>
    <xf numFmtId="1" fontId="3" fillId="5" borderId="42" xfId="0" applyNumberFormat="1" applyFont="1" applyFill="1" applyBorder="1" applyAlignment="1" applyProtection="1">
      <alignment horizontal="center" vertical="top" wrapText="1"/>
      <protection/>
    </xf>
    <xf numFmtId="1" fontId="3" fillId="5" borderId="35" xfId="0" applyNumberFormat="1" applyFont="1" applyFill="1" applyBorder="1" applyAlignment="1" applyProtection="1">
      <alignment horizontal="center" vertical="top" wrapText="1"/>
      <protection/>
    </xf>
    <xf numFmtId="1" fontId="0" fillId="5" borderId="42" xfId="0" applyNumberFormat="1" applyFont="1" applyFill="1" applyBorder="1" applyAlignment="1" applyProtection="1">
      <alignment horizontal="center" vertical="top" wrapText="1"/>
      <protection/>
    </xf>
    <xf numFmtId="1" fontId="0" fillId="5" borderId="35" xfId="0" applyNumberFormat="1" applyFont="1" applyFill="1" applyBorder="1" applyAlignment="1" applyProtection="1">
      <alignment horizontal="center" vertical="top" wrapText="1"/>
      <protection/>
    </xf>
    <xf numFmtId="1" fontId="0" fillId="5" borderId="33" xfId="0" applyNumberFormat="1" applyFont="1" applyFill="1" applyBorder="1" applyAlignment="1" applyProtection="1">
      <alignment horizontal="center" vertical="top" wrapText="1"/>
      <protection/>
    </xf>
    <xf numFmtId="49" fontId="5" fillId="33" borderId="20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51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0" fontId="3" fillId="5" borderId="27" xfId="0" applyNumberFormat="1" applyFont="1" applyFill="1" applyBorder="1" applyAlignment="1" applyProtection="1">
      <alignment horizontal="center" vertical="top" wrapText="1"/>
      <protection/>
    </xf>
    <xf numFmtId="180" fontId="3" fillId="5" borderId="48" xfId="0" applyNumberFormat="1" applyFont="1" applyFill="1" applyBorder="1" applyAlignment="1" applyProtection="1">
      <alignment horizontal="center" vertical="top" wrapText="1"/>
      <protection/>
    </xf>
    <xf numFmtId="180" fontId="3" fillId="5" borderId="49" xfId="0" applyNumberFormat="1" applyFont="1" applyFill="1" applyBorder="1" applyAlignment="1" applyProtection="1">
      <alignment horizontal="center" vertical="top" wrapText="1"/>
      <protection/>
    </xf>
    <xf numFmtId="180" fontId="0" fillId="5" borderId="27" xfId="0" applyNumberFormat="1" applyFont="1" applyFill="1" applyBorder="1" applyAlignment="1" applyProtection="1">
      <alignment horizontal="center" vertical="top" wrapText="1"/>
      <protection/>
    </xf>
    <xf numFmtId="180" fontId="0" fillId="5" borderId="48" xfId="0" applyNumberFormat="1" applyFont="1" applyFill="1" applyBorder="1" applyAlignment="1" applyProtection="1">
      <alignment horizontal="center" vertical="top" wrapText="1"/>
      <protection/>
    </xf>
    <xf numFmtId="180" fontId="0" fillId="5" borderId="24" xfId="0" applyNumberFormat="1" applyFont="1" applyFill="1" applyBorder="1" applyAlignment="1" applyProtection="1">
      <alignment horizontal="center" vertical="top" wrapText="1"/>
      <protection/>
    </xf>
    <xf numFmtId="180" fontId="0" fillId="5" borderId="50" xfId="0" applyNumberFormat="1" applyFont="1" applyFill="1" applyBorder="1" applyAlignment="1" applyProtection="1">
      <alignment horizontal="center" vertical="top" wrapText="1"/>
      <protection/>
    </xf>
    <xf numFmtId="180" fontId="0" fillId="5" borderId="49" xfId="0" applyNumberFormat="1" applyFont="1" applyFill="1" applyBorder="1" applyAlignment="1" applyProtection="1">
      <alignment horizontal="center" vertical="top" wrapText="1"/>
      <protection/>
    </xf>
    <xf numFmtId="180" fontId="0" fillId="5" borderId="35" xfId="0" applyNumberFormat="1" applyFont="1" applyFill="1" applyBorder="1" applyAlignment="1" applyProtection="1">
      <alignment horizontal="center" vertical="top" wrapText="1"/>
      <protection/>
    </xf>
    <xf numFmtId="180" fontId="0" fillId="5" borderId="42" xfId="0" applyNumberFormat="1" applyFont="1" applyFill="1" applyBorder="1" applyAlignment="1" applyProtection="1">
      <alignment horizontal="center" vertical="top" wrapText="1"/>
      <protection/>
    </xf>
    <xf numFmtId="180" fontId="0" fillId="5" borderId="33" xfId="0" applyNumberFormat="1" applyFont="1" applyFill="1" applyBorder="1" applyAlignment="1" applyProtection="1">
      <alignment horizontal="center" vertical="top" wrapText="1"/>
      <protection/>
    </xf>
    <xf numFmtId="1" fontId="0" fillId="5" borderId="52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Border="1" applyAlignment="1">
      <alignment vertical="top"/>
    </xf>
    <xf numFmtId="0" fontId="0" fillId="0" borderId="33" xfId="0" applyBorder="1" applyAlignment="1">
      <alignment vertical="top"/>
    </xf>
    <xf numFmtId="1" fontId="0" fillId="5" borderId="42" xfId="0" applyNumberFormat="1" applyFont="1" applyFill="1" applyBorder="1" applyAlignment="1" applyProtection="1">
      <alignment horizontal="center" vertical="center" wrapText="1"/>
      <protection/>
    </xf>
    <xf numFmtId="1" fontId="0" fillId="5" borderId="35" xfId="0" applyNumberFormat="1" applyFont="1" applyFill="1" applyBorder="1" applyAlignment="1" applyProtection="1">
      <alignment horizontal="center" vertical="center" wrapText="1"/>
      <protection/>
    </xf>
    <xf numFmtId="1" fontId="0" fillId="5" borderId="33" xfId="0" applyNumberFormat="1" applyFont="1" applyFill="1" applyBorder="1" applyAlignment="1" applyProtection="1">
      <alignment horizontal="center" vertical="center" wrapText="1"/>
      <protection/>
    </xf>
    <xf numFmtId="1" fontId="0" fillId="5" borderId="52" xfId="0" applyNumberFormat="1" applyFont="1" applyFill="1" applyBorder="1" applyAlignment="1" applyProtection="1">
      <alignment horizontal="center" vertical="center" wrapText="1"/>
      <protection/>
    </xf>
    <xf numFmtId="0" fontId="0" fillId="15" borderId="42" xfId="0" applyFill="1" applyBorder="1" applyAlignment="1" applyProtection="1">
      <alignment horizontal="left" vertical="top" wrapText="1"/>
      <protection/>
    </xf>
    <xf numFmtId="0" fontId="3" fillId="3" borderId="35" xfId="0" applyFont="1" applyFill="1" applyBorder="1" applyAlignment="1" applyProtection="1">
      <alignment horizontal="center" vertical="top" wrapText="1"/>
      <protection/>
    </xf>
    <xf numFmtId="49" fontId="0" fillId="22" borderId="42" xfId="53" applyNumberFormat="1" applyFont="1" applyFill="1" applyBorder="1" applyAlignment="1" applyProtection="1">
      <alignment horizontal="left" vertical="center" wrapText="1"/>
      <protection/>
    </xf>
    <xf numFmtId="49" fontId="0" fillId="22" borderId="35" xfId="53" applyNumberFormat="1" applyFont="1" applyFill="1" applyBorder="1" applyAlignment="1" applyProtection="1">
      <alignment horizontal="left" vertical="center" wrapText="1"/>
      <protection/>
    </xf>
    <xf numFmtId="49" fontId="0" fillId="22" borderId="33" xfId="53" applyNumberFormat="1" applyFont="1" applyFill="1" applyBorder="1" applyAlignment="1" applyProtection="1">
      <alignment horizontal="left" vertical="center" wrapText="1"/>
      <protection/>
    </xf>
    <xf numFmtId="49" fontId="0" fillId="22" borderId="42" xfId="53" applyNumberFormat="1" applyFont="1" applyFill="1" applyBorder="1" applyAlignment="1" applyProtection="1">
      <alignment horizontal="left" vertical="center" wrapText="1"/>
      <protection/>
    </xf>
    <xf numFmtId="0" fontId="29" fillId="25" borderId="42" xfId="0" applyFont="1" applyFill="1" applyBorder="1" applyAlignment="1" applyProtection="1">
      <alignment horizontal="center" vertical="center" wrapText="1"/>
      <protection/>
    </xf>
    <xf numFmtId="0" fontId="29" fillId="25" borderId="33" xfId="0" applyFont="1" applyFill="1" applyBorder="1" applyAlignment="1" applyProtection="1">
      <alignment horizontal="center" vertical="center" wrapText="1"/>
      <protection/>
    </xf>
    <xf numFmtId="49" fontId="0" fillId="22" borderId="13" xfId="53" applyNumberFormat="1" applyFont="1" applyFill="1" applyBorder="1" applyAlignment="1" applyProtection="1">
      <alignment horizontal="center" vertical="center" wrapText="1" shrinkToFit="1"/>
      <protection/>
    </xf>
    <xf numFmtId="0" fontId="3" fillId="7" borderId="13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left" vertical="center" wrapText="1" shrinkToFit="1"/>
      <protection locked="0"/>
    </xf>
    <xf numFmtId="49" fontId="0" fillId="22" borderId="30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4" xfId="53" applyNumberFormat="1" applyFont="1" applyFill="1" applyBorder="1" applyAlignment="1" applyProtection="1">
      <alignment horizontal="left" vertical="center" wrapText="1" shrinkToFit="1"/>
      <protection/>
    </xf>
    <xf numFmtId="0" fontId="0" fillId="26" borderId="42" xfId="53" applyNumberFormat="1" applyFont="1" applyFill="1" applyBorder="1" applyAlignment="1" applyProtection="1">
      <alignment horizontal="center" vertical="center" wrapText="1"/>
      <protection/>
    </xf>
    <xf numFmtId="0" fontId="0" fillId="26" borderId="35" xfId="53" applyNumberFormat="1" applyFont="1" applyFill="1" applyBorder="1" applyAlignment="1" applyProtection="1">
      <alignment horizontal="center" vertical="center" wrapText="1"/>
      <protection/>
    </xf>
    <xf numFmtId="0" fontId="0" fillId="26" borderId="33" xfId="53" applyNumberFormat="1" applyFont="1" applyFill="1" applyBorder="1" applyAlignment="1" applyProtection="1">
      <alignment horizontal="center" vertical="center" wrapText="1"/>
      <protection/>
    </xf>
    <xf numFmtId="0" fontId="0" fillId="22" borderId="42" xfId="53" applyFont="1" applyFill="1" applyBorder="1" applyAlignment="1" applyProtection="1">
      <alignment horizontal="left" vertical="center" wrapText="1" shrinkToFit="1"/>
      <protection/>
    </xf>
    <xf numFmtId="0" fontId="0" fillId="22" borderId="35" xfId="53" applyFont="1" applyFill="1" applyBorder="1" applyAlignment="1" applyProtection="1">
      <alignment horizontal="left" vertical="center" wrapText="1" shrinkToFit="1"/>
      <protection/>
    </xf>
    <xf numFmtId="0" fontId="0" fillId="22" borderId="33" xfId="53" applyFont="1" applyFill="1" applyBorder="1" applyAlignment="1" applyProtection="1">
      <alignment horizontal="left" vertical="center" wrapText="1" shrinkToFit="1"/>
      <protection/>
    </xf>
    <xf numFmtId="0" fontId="0" fillId="22" borderId="42" xfId="53" applyFont="1" applyFill="1" applyBorder="1" applyAlignment="1" applyProtection="1">
      <alignment horizontal="left" vertical="center" wrapText="1" shrinkToFit="1"/>
      <protection/>
    </xf>
    <xf numFmtId="0" fontId="4" fillId="25" borderId="42" xfId="0" applyFont="1" applyFill="1" applyBorder="1" applyAlignment="1" applyProtection="1">
      <alignment horizontal="center" vertical="center" wrapText="1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180" fontId="4" fillId="25" borderId="42" xfId="0" applyNumberFormat="1" applyFont="1" applyFill="1" applyBorder="1" applyAlignment="1" applyProtection="1">
      <alignment horizontal="center" vertical="center" wrapText="1"/>
      <protection/>
    </xf>
    <xf numFmtId="180" fontId="4" fillId="25" borderId="33" xfId="0" applyNumberFormat="1" applyFont="1" applyFill="1" applyBorder="1" applyAlignment="1" applyProtection="1">
      <alignment horizontal="center" vertical="center" wrapText="1"/>
      <protection/>
    </xf>
    <xf numFmtId="49" fontId="0" fillId="22" borderId="32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6" xfId="53" applyNumberFormat="1" applyFont="1" applyFill="1" applyBorder="1" applyAlignment="1" applyProtection="1">
      <alignment horizontal="left" vertical="center" wrapText="1" shrinkToFit="1"/>
      <protection/>
    </xf>
    <xf numFmtId="14" fontId="0" fillId="26" borderId="42" xfId="53" applyNumberFormat="1" applyFont="1" applyFill="1" applyBorder="1" applyAlignment="1" applyProtection="1">
      <alignment horizontal="center" vertical="center" wrapText="1"/>
      <protection/>
    </xf>
    <xf numFmtId="14" fontId="0" fillId="26" borderId="35" xfId="53" applyNumberFormat="1" applyFont="1" applyFill="1" applyBorder="1" applyAlignment="1" applyProtection="1">
      <alignment horizontal="center" vertical="center" wrapText="1"/>
      <protection/>
    </xf>
    <xf numFmtId="14" fontId="0" fillId="26" borderId="33" xfId="53" applyNumberFormat="1" applyFont="1" applyFill="1" applyBorder="1" applyAlignment="1" applyProtection="1">
      <alignment horizontal="center" vertical="center" wrapText="1"/>
      <protection/>
    </xf>
    <xf numFmtId="0" fontId="0" fillId="22" borderId="42" xfId="53" applyFont="1" applyFill="1" applyBorder="1" applyAlignment="1" applyProtection="1">
      <alignment vertical="center" wrapText="1"/>
      <protection/>
    </xf>
    <xf numFmtId="0" fontId="0" fillId="22" borderId="35" xfId="53" applyFont="1" applyFill="1" applyBorder="1" applyAlignment="1" applyProtection="1">
      <alignment vertical="center" wrapText="1"/>
      <protection/>
    </xf>
    <xf numFmtId="0" fontId="0" fillId="22" borderId="33" xfId="53" applyFont="1" applyFill="1" applyBorder="1" applyAlignment="1" applyProtection="1">
      <alignment vertical="center" wrapText="1"/>
      <protection/>
    </xf>
    <xf numFmtId="0" fontId="0" fillId="22" borderId="42" xfId="53" applyFont="1" applyFill="1" applyBorder="1" applyAlignment="1" applyProtection="1">
      <alignment vertical="center" wrapText="1"/>
      <protection/>
    </xf>
    <xf numFmtId="0" fontId="0" fillId="24" borderId="42" xfId="53" applyFont="1" applyFill="1" applyBorder="1" applyAlignment="1" applyProtection="1">
      <alignment vertical="center" wrapText="1"/>
      <protection/>
    </xf>
    <xf numFmtId="0" fontId="0" fillId="24" borderId="35" xfId="53" applyFont="1" applyFill="1" applyBorder="1" applyAlignment="1" applyProtection="1">
      <alignment vertical="center" wrapText="1"/>
      <protection/>
    </xf>
    <xf numFmtId="0" fontId="0" fillId="24" borderId="33" xfId="53" applyFont="1" applyFill="1" applyBorder="1" applyAlignment="1" applyProtection="1">
      <alignment vertical="center" wrapText="1"/>
      <protection/>
    </xf>
    <xf numFmtId="0" fontId="0" fillId="0" borderId="42" xfId="53" applyFont="1" applyFill="1" applyBorder="1" applyAlignment="1" applyProtection="1">
      <alignment horizontal="center" vertical="center" wrapText="1" shrinkToFit="1"/>
      <protection/>
    </xf>
    <xf numFmtId="0" fontId="0" fillId="0" borderId="35" xfId="53" applyFont="1" applyFill="1" applyBorder="1" applyAlignment="1" applyProtection="1">
      <alignment horizontal="center" vertical="center" wrapText="1" shrinkToFit="1"/>
      <protection/>
    </xf>
    <xf numFmtId="0" fontId="0" fillId="0" borderId="33" xfId="53" applyFont="1" applyFill="1" applyBorder="1" applyAlignment="1" applyProtection="1">
      <alignment horizontal="center" vertical="center" wrapText="1" shrinkToFit="1"/>
      <protection/>
    </xf>
    <xf numFmtId="0" fontId="0" fillId="7" borderId="42" xfId="53" applyFont="1" applyFill="1" applyBorder="1" applyAlignment="1" applyProtection="1">
      <alignment horizontal="center" vertical="center" wrapText="1"/>
      <protection/>
    </xf>
    <xf numFmtId="0" fontId="0" fillId="7" borderId="35" xfId="53" applyFont="1" applyFill="1" applyBorder="1" applyAlignment="1" applyProtection="1">
      <alignment horizontal="center" vertical="center" wrapText="1"/>
      <protection/>
    </xf>
    <xf numFmtId="0" fontId="0" fillId="7" borderId="33" xfId="53" applyFont="1" applyFill="1" applyBorder="1" applyAlignment="1" applyProtection="1">
      <alignment horizontal="center" vertical="center" wrapText="1"/>
      <protection/>
    </xf>
    <xf numFmtId="49" fontId="0" fillId="20" borderId="42" xfId="53" applyNumberFormat="1" applyFont="1" applyFill="1" applyBorder="1" applyAlignment="1" applyProtection="1">
      <alignment horizontal="left" vertical="center" wrapText="1"/>
      <protection/>
    </xf>
    <xf numFmtId="49" fontId="0" fillId="20" borderId="35" xfId="53" applyNumberFormat="1" applyFont="1" applyFill="1" applyBorder="1" applyAlignment="1" applyProtection="1">
      <alignment horizontal="left" vertical="center" wrapText="1"/>
      <protection/>
    </xf>
    <xf numFmtId="49" fontId="0" fillId="20" borderId="33" xfId="53" applyNumberFormat="1" applyFont="1" applyFill="1" applyBorder="1" applyAlignment="1" applyProtection="1">
      <alignment horizontal="left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49" fontId="0" fillId="7" borderId="42" xfId="53" applyNumberFormat="1" applyFont="1" applyFill="1" applyBorder="1" applyAlignment="1" applyProtection="1">
      <alignment horizontal="center" vertical="center" wrapText="1" shrinkToFit="1"/>
      <protection/>
    </xf>
    <xf numFmtId="49" fontId="0" fillId="7" borderId="33" xfId="53" applyNumberFormat="1" applyFont="1" applyFill="1" applyBorder="1" applyAlignment="1" applyProtection="1">
      <alignment horizontal="center" vertical="center" wrapText="1" shrinkToFit="1"/>
      <protection/>
    </xf>
    <xf numFmtId="0" fontId="0" fillId="7" borderId="30" xfId="53" applyFont="1" applyFill="1" applyBorder="1" applyAlignment="1" applyProtection="1">
      <alignment horizontal="center" vertical="center" wrapText="1"/>
      <protection/>
    </xf>
    <xf numFmtId="0" fontId="0" fillId="7" borderId="14" xfId="53" applyFont="1" applyFill="1" applyBorder="1" applyAlignment="1" applyProtection="1">
      <alignment horizontal="center" vertical="center" wrapText="1"/>
      <protection/>
    </xf>
    <xf numFmtId="0" fontId="0" fillId="7" borderId="26" xfId="53" applyFont="1" applyFill="1" applyBorder="1" applyAlignment="1" applyProtection="1">
      <alignment horizontal="center" vertical="center" wrapText="1"/>
      <protection/>
    </xf>
    <xf numFmtId="0" fontId="0" fillId="7" borderId="32" xfId="53" applyFont="1" applyFill="1" applyBorder="1" applyAlignment="1" applyProtection="1">
      <alignment horizontal="center" vertical="center" wrapText="1"/>
      <protection/>
    </xf>
    <xf numFmtId="0" fontId="0" fillId="7" borderId="16" xfId="53" applyFont="1" applyFill="1" applyBorder="1" applyAlignment="1" applyProtection="1">
      <alignment horizontal="center" vertical="center" wrapText="1"/>
      <protection/>
    </xf>
    <xf numFmtId="0" fontId="0" fillId="7" borderId="10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31" borderId="13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3" borderId="37" xfId="0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49" fontId="3" fillId="3" borderId="13" xfId="0" applyNumberFormat="1" applyFont="1" applyFill="1" applyBorder="1" applyAlignment="1" applyProtection="1">
      <alignment horizontal="center" textRotation="90" wrapText="1"/>
      <protection/>
    </xf>
    <xf numFmtId="0" fontId="3" fillId="3" borderId="38" xfId="0" applyFont="1" applyFill="1" applyBorder="1" applyAlignment="1" applyProtection="1">
      <alignment horizontal="center" vertical="top" wrapText="1"/>
      <protection/>
    </xf>
    <xf numFmtId="0" fontId="3" fillId="3" borderId="25" xfId="0" applyFont="1" applyFill="1" applyBorder="1" applyAlignment="1" applyProtection="1">
      <alignment horizontal="center" vertical="top" wrapText="1"/>
      <protection/>
    </xf>
    <xf numFmtId="0" fontId="3" fillId="3" borderId="41" xfId="0" applyFont="1" applyFill="1" applyBorder="1" applyAlignment="1" applyProtection="1">
      <alignment horizontal="center" vertical="top" wrapText="1"/>
      <protection/>
    </xf>
    <xf numFmtId="49" fontId="3" fillId="3" borderId="29" xfId="0" applyNumberFormat="1" applyFont="1" applyFill="1" applyBorder="1" applyAlignment="1" applyProtection="1">
      <alignment horizontal="center" textRotation="90" wrapText="1"/>
      <protection/>
    </xf>
    <xf numFmtId="49" fontId="3" fillId="3" borderId="36" xfId="0" applyNumberFormat="1" applyFont="1" applyFill="1" applyBorder="1" applyAlignment="1" applyProtection="1">
      <alignment horizontal="center" vertical="top" wrapText="1"/>
      <protection/>
    </xf>
    <xf numFmtId="49" fontId="3" fillId="3" borderId="37" xfId="0" applyNumberFormat="1" applyFont="1" applyFill="1" applyBorder="1" applyAlignment="1" applyProtection="1">
      <alignment horizontal="center" vertical="top" wrapText="1"/>
      <protection/>
    </xf>
    <xf numFmtId="49" fontId="3" fillId="3" borderId="29" xfId="0" applyNumberFormat="1" applyFont="1" applyFill="1" applyBorder="1" applyAlignment="1" applyProtection="1">
      <alignment horizontal="center" vertical="top" wrapText="1"/>
      <protection/>
    </xf>
    <xf numFmtId="49" fontId="3" fillId="3" borderId="13" xfId="0" applyNumberFormat="1" applyFont="1" applyFill="1" applyBorder="1" applyAlignment="1" applyProtection="1">
      <alignment horizontal="center" vertical="top" wrapText="1"/>
      <protection/>
    </xf>
    <xf numFmtId="0" fontId="3" fillId="3" borderId="53" xfId="0" applyFont="1" applyFill="1" applyBorder="1" applyAlignment="1" applyProtection="1">
      <alignment horizontal="center" vertical="top" wrapText="1"/>
      <protection/>
    </xf>
    <xf numFmtId="0" fontId="3" fillId="3" borderId="54" xfId="0" applyFont="1" applyFill="1" applyBorder="1" applyAlignment="1" applyProtection="1">
      <alignment horizontal="center" vertical="top" wrapText="1"/>
      <protection/>
    </xf>
    <xf numFmtId="0" fontId="3" fillId="3" borderId="55" xfId="0" applyFont="1" applyFill="1" applyBorder="1" applyAlignment="1" applyProtection="1">
      <alignment horizontal="center" vertical="top" wrapText="1"/>
      <protection/>
    </xf>
    <xf numFmtId="0" fontId="3" fillId="3" borderId="56" xfId="0" applyFont="1" applyFill="1" applyBorder="1" applyAlignment="1" applyProtection="1">
      <alignment horizontal="center" vertical="top" wrapText="1"/>
      <protection/>
    </xf>
    <xf numFmtId="0" fontId="3" fillId="3" borderId="34" xfId="0" applyFont="1" applyFill="1" applyBorder="1" applyAlignment="1" applyProtection="1">
      <alignment horizontal="center" vertical="top" wrapText="1"/>
      <protection/>
    </xf>
    <xf numFmtId="0" fontId="3" fillId="3" borderId="57" xfId="0" applyFont="1" applyFill="1" applyBorder="1" applyAlignment="1" applyProtection="1">
      <alignment horizontal="center" vertical="top" wrapText="1"/>
      <protection/>
    </xf>
    <xf numFmtId="49" fontId="3" fillId="3" borderId="58" xfId="0" applyNumberFormat="1" applyFont="1" applyFill="1" applyBorder="1" applyAlignment="1" applyProtection="1">
      <alignment horizontal="center" vertical="top" wrapText="1"/>
      <protection/>
    </xf>
    <xf numFmtId="49" fontId="3" fillId="3" borderId="59" xfId="0" applyNumberFormat="1" applyFont="1" applyFill="1" applyBorder="1" applyAlignment="1" applyProtection="1">
      <alignment horizontal="center" vertical="top" wrapText="1"/>
      <protection/>
    </xf>
    <xf numFmtId="49" fontId="3" fillId="3" borderId="28" xfId="0" applyNumberFormat="1" applyFont="1" applyFill="1" applyBorder="1" applyAlignment="1" applyProtection="1">
      <alignment horizontal="center" textRotation="90" wrapText="1"/>
      <protection/>
    </xf>
    <xf numFmtId="49" fontId="3" fillId="3" borderId="34" xfId="0" applyNumberFormat="1" applyFont="1" applyFill="1" applyBorder="1" applyAlignment="1" applyProtection="1">
      <alignment horizontal="center" textRotation="90" wrapText="1"/>
      <protection/>
    </xf>
    <xf numFmtId="49" fontId="3" fillId="3" borderId="57" xfId="0" applyNumberFormat="1" applyFont="1" applyFill="1" applyBorder="1" applyAlignment="1" applyProtection="1">
      <alignment horizontal="center" textRotation="90" wrapText="1"/>
      <protection/>
    </xf>
    <xf numFmtId="49" fontId="3" fillId="3" borderId="30" xfId="0" applyNumberFormat="1" applyFont="1" applyFill="1" applyBorder="1" applyAlignment="1" applyProtection="1">
      <alignment horizontal="center" textRotation="90" wrapText="1"/>
      <protection/>
    </xf>
    <xf numFmtId="49" fontId="3" fillId="3" borderId="44" xfId="0" applyNumberFormat="1" applyFont="1" applyFill="1" applyBorder="1" applyAlignment="1" applyProtection="1">
      <alignment horizontal="center" textRotation="90" wrapText="1"/>
      <protection/>
    </xf>
    <xf numFmtId="49" fontId="3" fillId="3" borderId="60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Alignment="1">
      <alignment horizontal="left" vertical="top" wrapText="1"/>
    </xf>
    <xf numFmtId="0" fontId="0" fillId="42" borderId="0" xfId="0" applyNumberFormat="1" applyFill="1" applyBorder="1" applyAlignment="1" applyProtection="1">
      <alignment horizontal="left" vertical="top" wrapText="1"/>
      <protection locked="0"/>
    </xf>
    <xf numFmtId="0" fontId="0" fillId="42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1" fontId="0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31" borderId="13" xfId="0" applyFont="1" applyFill="1" applyBorder="1" applyAlignment="1" applyProtection="1">
      <alignment horizontal="center" vertical="center" wrapText="1"/>
      <protection locked="0"/>
    </xf>
    <xf numFmtId="49" fontId="0" fillId="0" borderId="42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justify" vertical="center" wrapText="1"/>
      <protection/>
    </xf>
    <xf numFmtId="49" fontId="0" fillId="0" borderId="35" xfId="0" applyNumberFormat="1" applyFont="1" applyFill="1" applyBorder="1" applyAlignment="1" applyProtection="1">
      <alignment horizontal="center" vertical="center" wrapText="1"/>
      <protection/>
    </xf>
    <xf numFmtId="49" fontId="0" fillId="40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1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15" borderId="30" xfId="0" applyNumberFormat="1" applyFont="1" applyFill="1" applyBorder="1" applyAlignment="1" applyProtection="1">
      <alignment horizontal="left" vertical="center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49" fontId="3" fillId="15" borderId="14" xfId="0" applyNumberFormat="1" applyFont="1" applyFill="1" applyBorder="1" applyAlignment="1" applyProtection="1">
      <alignment horizontal="left" vertical="center" wrapText="1"/>
      <protection/>
    </xf>
    <xf numFmtId="49" fontId="3" fillId="40" borderId="14" xfId="0" applyNumberFormat="1" applyFont="1" applyFill="1" applyBorder="1" applyAlignment="1" applyProtection="1">
      <alignment horizontal="left" vertical="center" wrapText="1"/>
      <protection/>
    </xf>
    <xf numFmtId="1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0" fillId="15" borderId="14" xfId="0" applyFont="1" applyFill="1" applyBorder="1" applyAlignment="1" applyProtection="1">
      <alignment horizontal="center" vertical="center" wrapText="1"/>
      <protection/>
    </xf>
    <xf numFmtId="0" fontId="3" fillId="15" borderId="32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49" fontId="3" fillId="15" borderId="16" xfId="0" applyNumberFormat="1" applyFont="1" applyFill="1" applyBorder="1" applyAlignment="1" applyProtection="1">
      <alignment horizontal="left" vertical="center" wrapText="1"/>
      <protection/>
    </xf>
    <xf numFmtId="49" fontId="3" fillId="40" borderId="16" xfId="0" applyNumberFormat="1" applyFont="1" applyFill="1" applyBorder="1" applyAlignment="1" applyProtection="1">
      <alignment horizontal="left" vertical="center" wrapText="1"/>
      <protection/>
    </xf>
    <xf numFmtId="1" fontId="3" fillId="15" borderId="16" xfId="0" applyNumberFormat="1" applyFont="1" applyFill="1" applyBorder="1" applyAlignment="1" applyProtection="1">
      <alignment horizontal="left" vertical="center" wrapText="1"/>
      <protection/>
    </xf>
    <xf numFmtId="0" fontId="0" fillId="15" borderId="16" xfId="0" applyFont="1" applyFill="1" applyBorder="1" applyAlignment="1" applyProtection="1">
      <alignment horizontal="center" vertical="center" wrapText="1"/>
      <protection/>
    </xf>
    <xf numFmtId="1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ont="1" applyFill="1" applyBorder="1" applyAlignment="1" applyProtection="1">
      <alignment horizontal="center" vertical="center" wrapText="1"/>
      <protection/>
    </xf>
    <xf numFmtId="0" fontId="5" fillId="15" borderId="44" xfId="0" applyNumberFormat="1" applyFont="1" applyFill="1" applyBorder="1" applyAlignment="1" applyProtection="1">
      <alignment horizontal="left" vertical="center" wrapText="1"/>
      <protection/>
    </xf>
    <xf numFmtId="0" fontId="5" fillId="15" borderId="42" xfId="0" applyFont="1" applyFill="1" applyBorder="1" applyAlignment="1" applyProtection="1">
      <alignment horizontal="left" vertical="center" wrapText="1"/>
      <protection/>
    </xf>
    <xf numFmtId="0" fontId="5" fillId="15" borderId="35" xfId="0" applyFont="1" applyFill="1" applyBorder="1" applyAlignment="1" applyProtection="1">
      <alignment horizontal="left" vertical="center" wrapText="1"/>
      <protection/>
    </xf>
    <xf numFmtId="0" fontId="5" fillId="15" borderId="33" xfId="0" applyFont="1" applyFill="1" applyBorder="1" applyAlignment="1" applyProtection="1">
      <alignment horizontal="left" vertical="center" wrapText="1"/>
      <protection/>
    </xf>
    <xf numFmtId="1" fontId="5" fillId="15" borderId="33" xfId="0" applyNumberFormat="1" applyFont="1" applyFill="1" applyBorder="1" applyAlignment="1" applyProtection="1">
      <alignment horizontal="center" vertical="center" wrapText="1"/>
      <protection/>
    </xf>
    <xf numFmtId="3" fontId="5" fillId="5" borderId="33" xfId="0" applyNumberFormat="1" applyFont="1" applyFill="1" applyBorder="1" applyAlignment="1" applyProtection="1">
      <alignment horizontal="center" vertical="center" wrapText="1"/>
      <protection/>
    </xf>
    <xf numFmtId="3" fontId="5" fillId="5" borderId="35" xfId="0" applyNumberFormat="1" applyFont="1" applyFill="1" applyBorder="1" applyAlignment="1" applyProtection="1">
      <alignment horizontal="center" vertical="center" wrapText="1"/>
      <protection/>
    </xf>
    <xf numFmtId="1" fontId="5" fillId="5" borderId="13" xfId="0" applyNumberFormat="1" applyFont="1" applyFill="1" applyBorder="1" applyAlignment="1" applyProtection="1">
      <alignment horizontal="center" vertical="center" wrapText="1"/>
      <protection/>
    </xf>
    <xf numFmtId="3" fontId="31" fillId="5" borderId="13" xfId="0" applyNumberFormat="1" applyFont="1" applyFill="1" applyBorder="1" applyAlignment="1" applyProtection="1">
      <alignment horizontal="center" vertical="center" wrapText="1"/>
      <protection/>
    </xf>
    <xf numFmtId="1" fontId="5" fillId="5" borderId="33" xfId="0" applyNumberFormat="1" applyFont="1" applyFill="1" applyBorder="1" applyAlignment="1" applyProtection="1">
      <alignment horizontal="center" vertical="center" wrapText="1"/>
      <protection/>
    </xf>
    <xf numFmtId="3" fontId="31" fillId="5" borderId="42" xfId="0" applyNumberFormat="1" applyFont="1" applyFill="1" applyBorder="1" applyAlignment="1" applyProtection="1">
      <alignment horizontal="center" vertical="center" wrapText="1"/>
      <protection/>
    </xf>
    <xf numFmtId="1" fontId="5" fillId="5" borderId="24" xfId="0" applyNumberFormat="1" applyFont="1" applyFill="1" applyBorder="1" applyAlignment="1" applyProtection="1">
      <alignment horizontal="center" vertical="center" wrapText="1"/>
      <protection/>
    </xf>
    <xf numFmtId="3" fontId="31" fillId="5" borderId="27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31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3" fontId="5" fillId="5" borderId="42" xfId="0" applyNumberFormat="1" applyFont="1" applyFill="1" applyBorder="1" applyAlignment="1" applyProtection="1">
      <alignment horizontal="center" vertical="center" wrapText="1"/>
      <protection/>
    </xf>
    <xf numFmtId="3" fontId="31" fillId="5" borderId="33" xfId="0" applyNumberFormat="1" applyFont="1" applyFill="1" applyBorder="1" applyAlignment="1" applyProtection="1">
      <alignment horizontal="center" vertical="center" wrapText="1"/>
      <protection/>
    </xf>
    <xf numFmtId="3" fontId="31" fillId="5" borderId="35" xfId="0" applyNumberFormat="1" applyFont="1" applyFill="1" applyBorder="1" applyAlignment="1" applyProtection="1">
      <alignment horizontal="center" vertical="center" wrapText="1"/>
      <protection/>
    </xf>
    <xf numFmtId="3" fontId="31" fillId="5" borderId="50" xfId="0" applyNumberFormat="1" applyFont="1" applyFill="1" applyBorder="1" applyAlignment="1" applyProtection="1">
      <alignment horizontal="center" vertical="center" wrapText="1"/>
      <protection/>
    </xf>
    <xf numFmtId="0" fontId="31" fillId="15" borderId="44" xfId="0" applyNumberFormat="1" applyFont="1" applyFill="1" applyBorder="1" applyAlignment="1" applyProtection="1">
      <alignment horizontal="left" vertical="center" wrapText="1"/>
      <protection/>
    </xf>
    <xf numFmtId="0" fontId="31" fillId="15" borderId="42" xfId="0" applyFont="1" applyFill="1" applyBorder="1" applyAlignment="1" applyProtection="1">
      <alignment horizontal="left" vertical="center" wrapText="1"/>
      <protection/>
    </xf>
    <xf numFmtId="0" fontId="31" fillId="15" borderId="35" xfId="0" applyFont="1" applyFill="1" applyBorder="1" applyAlignment="1" applyProtection="1">
      <alignment horizontal="left" vertical="center" wrapText="1"/>
      <protection/>
    </xf>
    <xf numFmtId="0" fontId="31" fillId="15" borderId="33" xfId="0" applyFont="1" applyFill="1" applyBorder="1" applyAlignment="1" applyProtection="1">
      <alignment horizontal="left" vertical="center" wrapText="1"/>
      <protection/>
    </xf>
    <xf numFmtId="0" fontId="31" fillId="40" borderId="33" xfId="0" applyFont="1" applyFill="1" applyBorder="1" applyAlignment="1" applyProtection="1">
      <alignment horizontal="left" vertical="center" wrapText="1"/>
      <protection/>
    </xf>
    <xf numFmtId="1" fontId="31" fillId="15" borderId="33" xfId="0" applyNumberFormat="1" applyFont="1" applyFill="1" applyBorder="1" applyAlignment="1" applyProtection="1">
      <alignment horizontal="center" vertical="center" wrapText="1"/>
      <protection/>
    </xf>
    <xf numFmtId="1" fontId="31" fillId="5" borderId="13" xfId="0" applyNumberFormat="1" applyFont="1" applyFill="1" applyBorder="1" applyAlignment="1" applyProtection="1">
      <alignment horizontal="center" vertical="center" wrapText="1"/>
      <protection/>
    </xf>
    <xf numFmtId="1" fontId="31" fillId="5" borderId="33" xfId="0" applyNumberFormat="1" applyFont="1" applyFill="1" applyBorder="1" applyAlignment="1" applyProtection="1">
      <alignment horizontal="center" vertical="center" wrapText="1"/>
      <protection/>
    </xf>
    <xf numFmtId="1" fontId="31" fillId="5" borderId="24" xfId="0" applyNumberFormat="1" applyFont="1" applyFill="1" applyBorder="1" applyAlignment="1" applyProtection="1">
      <alignment horizontal="center" vertical="center" wrapText="1"/>
      <protection/>
    </xf>
    <xf numFmtId="49" fontId="31" fillId="15" borderId="34" xfId="0" applyNumberFormat="1" applyFont="1" applyFill="1" applyBorder="1" applyAlignment="1" applyProtection="1">
      <alignment horizontal="center" vertical="center" wrapText="1"/>
      <protection/>
    </xf>
    <xf numFmtId="0" fontId="5" fillId="40" borderId="35" xfId="0" applyFont="1" applyFill="1" applyBorder="1" applyAlignment="1" applyProtection="1">
      <alignment horizontal="left" vertical="center" wrapText="1"/>
      <protection/>
    </xf>
    <xf numFmtId="1" fontId="5" fillId="15" borderId="13" xfId="0" applyNumberFormat="1" applyFont="1" applyFill="1" applyBorder="1" applyAlignment="1" applyProtection="1">
      <alignment horizontal="center" vertical="center" wrapText="1"/>
      <protection/>
    </xf>
    <xf numFmtId="3" fontId="5" fillId="5" borderId="13" xfId="0" applyNumberFormat="1" applyFont="1" applyFill="1" applyBorder="1" applyAlignment="1" applyProtection="1">
      <alignment horizontal="center" vertical="center" wrapText="1"/>
      <protection/>
    </xf>
    <xf numFmtId="1" fontId="5" fillId="5" borderId="42" xfId="0" applyNumberFormat="1" applyFont="1" applyFill="1" applyBorder="1" applyAlignment="1" applyProtection="1">
      <alignment horizontal="center" vertical="center" wrapText="1"/>
      <protection/>
    </xf>
    <xf numFmtId="1" fontId="5" fillId="5" borderId="35" xfId="0" applyNumberFormat="1" applyFont="1" applyFill="1" applyBorder="1" applyAlignment="1" applyProtection="1">
      <alignment horizontal="center" vertical="center" wrapText="1"/>
      <protection/>
    </xf>
    <xf numFmtId="1" fontId="31" fillId="5" borderId="42" xfId="0" applyNumberFormat="1" applyFont="1" applyFill="1" applyBorder="1" applyAlignment="1" applyProtection="1">
      <alignment horizontal="center" vertical="center" wrapText="1"/>
      <protection/>
    </xf>
    <xf numFmtId="1" fontId="31" fillId="5" borderId="35" xfId="0" applyNumberFormat="1" applyFont="1" applyFill="1" applyBorder="1" applyAlignment="1" applyProtection="1">
      <alignment horizontal="center" vertical="center" wrapText="1"/>
      <protection/>
    </xf>
    <xf numFmtId="1" fontId="31" fillId="5" borderId="33" xfId="0" applyNumberFormat="1" applyFont="1" applyFill="1" applyBorder="1" applyAlignment="1" applyProtection="1">
      <alignment horizontal="center" vertical="center" wrapText="1"/>
      <protection/>
    </xf>
    <xf numFmtId="1" fontId="31" fillId="5" borderId="49" xfId="0" applyNumberFormat="1" applyFont="1" applyFill="1" applyBorder="1" applyAlignment="1" applyProtection="1">
      <alignment horizontal="center" vertical="center" wrapText="1"/>
      <protection/>
    </xf>
    <xf numFmtId="1" fontId="31" fillId="5" borderId="52" xfId="0" applyNumberFormat="1" applyFont="1" applyFill="1" applyBorder="1" applyAlignment="1" applyProtection="1">
      <alignment horizontal="center" vertical="center" wrapText="1"/>
      <protection/>
    </xf>
    <xf numFmtId="1" fontId="31" fillId="5" borderId="50" xfId="0" applyNumberFormat="1" applyFont="1" applyFill="1" applyBorder="1" applyAlignment="1" applyProtection="1">
      <alignment horizontal="center" vertical="center" wrapText="1"/>
      <protection/>
    </xf>
    <xf numFmtId="1" fontId="5" fillId="5" borderId="27" xfId="0" applyNumberFormat="1" applyFont="1" applyFill="1" applyBorder="1" applyAlignment="1" applyProtection="1">
      <alignment horizontal="center" vertical="center" wrapText="1"/>
      <protection/>
    </xf>
    <xf numFmtId="1" fontId="5" fillId="5" borderId="48" xfId="0" applyNumberFormat="1" applyFont="1" applyFill="1" applyBorder="1" applyAlignment="1" applyProtection="1">
      <alignment horizontal="center" vertical="center" wrapText="1"/>
      <protection/>
    </xf>
    <xf numFmtId="1" fontId="5" fillId="5" borderId="49" xfId="0" applyNumberFormat="1" applyFont="1" applyFill="1" applyBorder="1" applyAlignment="1" applyProtection="1">
      <alignment horizontal="center" vertical="center" wrapText="1"/>
      <protection/>
    </xf>
    <xf numFmtId="1" fontId="31" fillId="5" borderId="27" xfId="0" applyNumberFormat="1" applyFont="1" applyFill="1" applyBorder="1" applyAlignment="1" applyProtection="1">
      <alignment horizontal="center" vertical="center" wrapText="1"/>
      <protection/>
    </xf>
    <xf numFmtId="1" fontId="31" fillId="5" borderId="48" xfId="0" applyNumberFormat="1" applyFont="1" applyFill="1" applyBorder="1" applyAlignment="1" applyProtection="1">
      <alignment horizontal="center" vertical="center" wrapText="1"/>
      <protection/>
    </xf>
    <xf numFmtId="1" fontId="31" fillId="5" borderId="24" xfId="0" applyNumberFormat="1" applyFont="1" applyFill="1" applyBorder="1" applyAlignment="1" applyProtection="1">
      <alignment horizontal="center" vertical="center" wrapText="1"/>
      <protection/>
    </xf>
    <xf numFmtId="49" fontId="5" fillId="15" borderId="34" xfId="0" applyNumberFormat="1" applyFont="1" applyFill="1" applyBorder="1" applyAlignment="1" applyProtection="1">
      <alignment horizontal="left" vertical="center" wrapText="1"/>
      <protection/>
    </xf>
    <xf numFmtId="180" fontId="5" fillId="5" borderId="27" xfId="0" applyNumberFormat="1" applyFont="1" applyFill="1" applyBorder="1" applyAlignment="1" applyProtection="1">
      <alignment horizontal="center" vertical="center" wrapText="1"/>
      <protection/>
    </xf>
    <xf numFmtId="180" fontId="5" fillId="5" borderId="48" xfId="0" applyNumberFormat="1" applyFont="1" applyFill="1" applyBorder="1" applyAlignment="1" applyProtection="1">
      <alignment horizontal="center" vertical="center" wrapText="1"/>
      <protection/>
    </xf>
    <xf numFmtId="180" fontId="5" fillId="5" borderId="49" xfId="0" applyNumberFormat="1" applyFont="1" applyFill="1" applyBorder="1" applyAlignment="1" applyProtection="1">
      <alignment horizontal="center" vertical="center" wrapText="1"/>
      <protection/>
    </xf>
    <xf numFmtId="180" fontId="31" fillId="5" borderId="27" xfId="0" applyNumberFormat="1" applyFont="1" applyFill="1" applyBorder="1" applyAlignment="1" applyProtection="1">
      <alignment horizontal="center" vertical="center" wrapText="1"/>
      <protection/>
    </xf>
    <xf numFmtId="180" fontId="31" fillId="5" borderId="48" xfId="0" applyNumberFormat="1" applyFont="1" applyFill="1" applyBorder="1" applyAlignment="1" applyProtection="1">
      <alignment horizontal="center" vertical="center" wrapText="1"/>
      <protection/>
    </xf>
    <xf numFmtId="180" fontId="31" fillId="5" borderId="24" xfId="0" applyNumberFormat="1" applyFont="1" applyFill="1" applyBorder="1" applyAlignment="1" applyProtection="1">
      <alignment horizontal="center" vertical="center" wrapText="1"/>
      <protection/>
    </xf>
    <xf numFmtId="2" fontId="31" fillId="5" borderId="50" xfId="0" applyNumberFormat="1" applyFont="1" applyFill="1" applyBorder="1" applyAlignment="1" applyProtection="1">
      <alignment horizontal="center" vertical="center" wrapText="1"/>
      <protection/>
    </xf>
    <xf numFmtId="2" fontId="31" fillId="5" borderId="48" xfId="0" applyNumberFormat="1" applyFont="1" applyFill="1" applyBorder="1" applyAlignment="1" applyProtection="1">
      <alignment horizontal="center" vertical="center" wrapText="1"/>
      <protection/>
    </xf>
    <xf numFmtId="2" fontId="31" fillId="5" borderId="49" xfId="0" applyNumberFormat="1" applyFont="1" applyFill="1" applyBorder="1" applyAlignment="1" applyProtection="1">
      <alignment horizontal="center" vertical="center" wrapText="1"/>
      <protection/>
    </xf>
    <xf numFmtId="2" fontId="31" fillId="5" borderId="27" xfId="0" applyNumberFormat="1" applyFont="1" applyFill="1" applyBorder="1" applyAlignment="1" applyProtection="1">
      <alignment horizontal="center" vertical="center" wrapText="1"/>
      <protection/>
    </xf>
    <xf numFmtId="2" fontId="31" fillId="5" borderId="24" xfId="0" applyNumberFormat="1" applyFont="1" applyFill="1" applyBorder="1" applyAlignment="1" applyProtection="1">
      <alignment horizontal="center" vertical="center" wrapText="1"/>
      <protection/>
    </xf>
    <xf numFmtId="180" fontId="31" fillId="5" borderId="49" xfId="0" applyNumberFormat="1" applyFont="1" applyFill="1" applyBorder="1" applyAlignment="1" applyProtection="1">
      <alignment horizontal="center" vertical="center" wrapText="1"/>
      <protection/>
    </xf>
    <xf numFmtId="180" fontId="31" fillId="5" borderId="35" xfId="0" applyNumberFormat="1" applyFont="1" applyFill="1" applyBorder="1" applyAlignment="1" applyProtection="1">
      <alignment horizontal="center" vertical="center" wrapText="1"/>
      <protection/>
    </xf>
    <xf numFmtId="180" fontId="31" fillId="5" borderId="52" xfId="0" applyNumberFormat="1" applyFont="1" applyFill="1" applyBorder="1" applyAlignment="1" applyProtection="1">
      <alignment horizontal="center" vertical="center" wrapText="1"/>
      <protection/>
    </xf>
    <xf numFmtId="49" fontId="31" fillId="15" borderId="34" xfId="0" applyNumberFormat="1" applyFont="1" applyFill="1" applyBorder="1" applyAlignment="1" applyProtection="1">
      <alignment horizontal="left" vertical="center" wrapText="1"/>
      <protection/>
    </xf>
    <xf numFmtId="1" fontId="5" fillId="5" borderId="42" xfId="0" applyNumberFormat="1" applyFont="1" applyFill="1" applyBorder="1" applyAlignment="1" applyProtection="1">
      <alignment horizontal="center" vertical="center" wrapText="1"/>
      <protection/>
    </xf>
    <xf numFmtId="1" fontId="5" fillId="5" borderId="35" xfId="0" applyNumberFormat="1" applyFont="1" applyFill="1" applyBorder="1" applyAlignment="1" applyProtection="1">
      <alignment horizontal="center" vertical="center" wrapText="1"/>
      <protection/>
    </xf>
    <xf numFmtId="1" fontId="31" fillId="5" borderId="35" xfId="0" applyNumberFormat="1" applyFont="1" applyFill="1" applyBorder="1" applyAlignment="1" applyProtection="1">
      <alignment horizontal="center" vertical="center" wrapText="1"/>
      <protection/>
    </xf>
    <xf numFmtId="1" fontId="31" fillId="5" borderId="42" xfId="0" applyNumberFormat="1" applyFont="1" applyFill="1" applyBorder="1" applyAlignment="1" applyProtection="1">
      <alignment horizontal="center" vertical="center" wrapText="1"/>
      <protection/>
    </xf>
    <xf numFmtId="49" fontId="31" fillId="1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4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31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25" borderId="16" xfId="0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0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49" fontId="0" fillId="25" borderId="0" xfId="0" applyNumberFormat="1" applyFont="1" applyFill="1" applyBorder="1" applyAlignment="1" applyProtection="1">
      <alignment horizontal="left" vertical="top" wrapText="1"/>
      <protection/>
    </xf>
    <xf numFmtId="0" fontId="0" fillId="30" borderId="0" xfId="0" applyFont="1" applyFill="1" applyBorder="1" applyAlignment="1" applyProtection="1">
      <alignment horizontal="left" vertical="top" wrapText="1"/>
      <protection/>
    </xf>
    <xf numFmtId="1" fontId="0" fillId="30" borderId="0" xfId="0" applyNumberFormat="1" applyFont="1" applyFill="1" applyBorder="1" applyAlignment="1" applyProtection="1">
      <alignment horizontal="left" vertical="top" wrapText="1"/>
      <protection/>
    </xf>
    <xf numFmtId="0" fontId="0" fillId="31" borderId="0" xfId="0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1" fillId="31" borderId="0" xfId="0" applyFont="1" applyFill="1" applyBorder="1" applyAlignment="1" applyProtection="1">
      <alignment horizontal="left" vertical="top" wrapText="1"/>
      <protection/>
    </xf>
    <xf numFmtId="0" fontId="0" fillId="30" borderId="0" xfId="0" applyNumberFormat="1" applyFont="1" applyFill="1" applyBorder="1" applyAlignment="1" applyProtection="1">
      <alignment horizontal="left" vertical="top" wrapText="1"/>
      <protection/>
    </xf>
    <xf numFmtId="49" fontId="0" fillId="30" borderId="0" xfId="0" applyNumberFormat="1" applyFont="1" applyFill="1" applyBorder="1" applyAlignment="1" applyProtection="1">
      <alignment horizontal="left" vertical="top" wrapText="1"/>
      <protection/>
    </xf>
    <xf numFmtId="2" fontId="0" fillId="3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623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524000" y="623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24000" y="623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24000" y="6238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626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524000" y="626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24000" y="626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24000" y="626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\AppData\Local\Microsoft\Windows\Temporary%20Internet%20Files\Content.Outlook\DU02Z5SH\1&#1059;&#1055;-26%2002%2003%20(&#1057;&#1042;)%20&#1091;&#1075;&#1083;&#1091;&#1073;&#1083;&#1077;&#1085;&#1085;&#1072;&#1103;%20&#1087;&#1086;&#1076;&#1075;&#1086;&#1090;&#1086;&#1074;&#1082;&#1072;%20&#1089;%20&#1079;_&#1086;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2">
        <row r="29">
          <cell r="BD29">
            <v>57</v>
          </cell>
        </row>
      </sheetData>
      <sheetData sheetId="4">
        <row r="21">
          <cell r="E21" t="str">
            <v>-</v>
          </cell>
        </row>
        <row r="38">
          <cell r="G38">
            <v>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Учебный план"/>
      <sheetName val="Титул З_О"/>
      <sheetName val="УП З_О"/>
      <sheetName val="Нормы"/>
      <sheetName val="Компетенции"/>
      <sheetName val="Материально-техническая база"/>
      <sheetName val="Примечание"/>
      <sheetName val="Лист3"/>
    </sheetNames>
    <sheetDataSet>
      <sheetData sheetId="1">
        <row r="76">
          <cell r="A76" t="str">
            <v>ПМ.02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1"/>
  <sheetViews>
    <sheetView showZeros="0" zoomScale="90" zoomScaleNormal="90" zoomScalePageLayoutView="70" workbookViewId="0" topLeftCell="A1">
      <selection activeCell="BX24" sqref="BX24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8" width="3.33203125" style="6" customWidth="1"/>
    <col min="59" max="59" width="5.33203125" style="6" customWidth="1"/>
    <col min="60" max="60" width="4.66015625" style="6" customWidth="1"/>
    <col min="61" max="61" width="7.33203125" style="6" customWidth="1"/>
    <col min="62" max="62" width="7.33203125" style="6" hidden="1" customWidth="1"/>
    <col min="63" max="63" width="7.33203125" style="6" customWidth="1"/>
    <col min="64" max="65" width="4.5" style="6" customWidth="1"/>
    <col min="66" max="67" width="2.83203125" style="6" customWidth="1"/>
    <col min="68" max="68" width="3.5" style="6" bestFit="1" customWidth="1"/>
    <col min="69" max="16384" width="2.83203125" style="6" customWidth="1"/>
  </cols>
  <sheetData>
    <row r="1" spans="1:65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506" t="s">
        <v>32</v>
      </c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15.75" customHeight="1">
      <c r="A2" s="519" t="s">
        <v>315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07" t="s">
        <v>306</v>
      </c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25" t="s">
        <v>44</v>
      </c>
      <c r="BD2" s="525"/>
      <c r="BE2" s="525"/>
      <c r="BF2" s="525"/>
      <c r="BG2" s="525"/>
      <c r="BH2" s="525"/>
      <c r="BI2" s="525"/>
      <c r="BJ2" s="525"/>
      <c r="BK2" s="525"/>
      <c r="BL2" s="525"/>
      <c r="BM2" s="525"/>
    </row>
    <row r="3" spans="1:65" ht="15.75" customHeight="1">
      <c r="A3" s="530">
        <v>43276</v>
      </c>
      <c r="B3" s="530"/>
      <c r="C3" s="530"/>
      <c r="D3" s="530"/>
      <c r="E3" s="530"/>
      <c r="F3" s="530"/>
      <c r="G3" s="530"/>
      <c r="H3" s="530" t="s">
        <v>569</v>
      </c>
      <c r="I3" s="530"/>
      <c r="J3" s="530"/>
      <c r="K3" s="530"/>
      <c r="L3" s="530"/>
      <c r="M3" s="530"/>
      <c r="N3" s="530"/>
      <c r="O3" s="507" t="s">
        <v>305</v>
      </c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31" t="s">
        <v>25</v>
      </c>
      <c r="BD3" s="531"/>
      <c r="BE3" s="531"/>
      <c r="BF3" s="531"/>
      <c r="BG3" s="531"/>
      <c r="BH3" s="531"/>
      <c r="BI3" s="531"/>
      <c r="BJ3" s="531"/>
      <c r="BK3" s="531"/>
      <c r="BL3" s="531"/>
      <c r="BM3" s="531"/>
    </row>
    <row r="4" spans="1:65" ht="15.75" customHeight="1">
      <c r="A4" s="538" t="s">
        <v>570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534" t="s">
        <v>279</v>
      </c>
      <c r="BD4" s="534"/>
      <c r="BE4" s="534"/>
      <c r="BF4" s="534"/>
      <c r="BG4" s="534"/>
      <c r="BH4" s="534"/>
      <c r="BI4" s="534"/>
      <c r="BJ4" s="534"/>
      <c r="BK4" s="534"/>
      <c r="BL4" s="534"/>
      <c r="BM4" s="534"/>
    </row>
    <row r="5" spans="1:65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  <c r="P5" s="23"/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6"/>
      <c r="BD5" s="20"/>
      <c r="BE5" s="20"/>
      <c r="BF5" s="27"/>
      <c r="BG5" s="28"/>
      <c r="BH5" s="28"/>
      <c r="BI5" s="28"/>
      <c r="BJ5" s="28"/>
      <c r="BK5" s="28"/>
      <c r="BL5" s="28"/>
      <c r="BM5" s="20"/>
    </row>
    <row r="6" spans="1:65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526">
        <v>44286</v>
      </c>
      <c r="BD6" s="526"/>
      <c r="BE6" s="526"/>
      <c r="BF6" s="526"/>
      <c r="BG6" s="526"/>
      <c r="BH6" s="526"/>
      <c r="BI6" s="526"/>
      <c r="BJ6" s="526"/>
      <c r="BK6" s="526"/>
      <c r="BL6" s="526"/>
      <c r="BM6" s="526"/>
    </row>
    <row r="7" spans="1:65" ht="24">
      <c r="A7" s="539" t="s">
        <v>319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39"/>
      <c r="AQ7" s="539"/>
      <c r="AR7" s="539"/>
      <c r="AS7" s="539"/>
      <c r="AT7" s="539"/>
      <c r="AU7" s="539"/>
      <c r="AV7" s="539"/>
      <c r="AW7" s="539"/>
      <c r="AX7" s="539"/>
      <c r="AY7" s="539"/>
      <c r="AZ7" s="539"/>
      <c r="BA7" s="539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539"/>
      <c r="BM7" s="539"/>
    </row>
    <row r="8" spans="1:65" s="3" customFormat="1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528" t="s">
        <v>320</v>
      </c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25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s="3" customFormat="1" ht="15.75" customHeight="1">
      <c r="A9" s="501" t="s">
        <v>45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27" t="s">
        <v>483</v>
      </c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7"/>
      <c r="AW9" s="527"/>
      <c r="AX9" s="527"/>
      <c r="AY9" s="527"/>
      <c r="AZ9" s="527"/>
      <c r="BA9" s="527"/>
      <c r="BB9" s="527"/>
      <c r="BC9" s="25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s="3" customFormat="1" ht="15.75" customHeight="1">
      <c r="A10" s="501" t="s">
        <v>119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29" t="s">
        <v>316</v>
      </c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529"/>
      <c r="BC10" s="523" t="s">
        <v>492</v>
      </c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</row>
    <row r="11" spans="1:65" s="3" customFormat="1" ht="15.75" customHeight="1">
      <c r="A11" s="501" t="s">
        <v>116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9" t="s">
        <v>224</v>
      </c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24"/>
      <c r="BD11" s="524"/>
      <c r="BE11" s="524"/>
      <c r="BF11" s="524"/>
      <c r="BG11" s="524"/>
      <c r="BH11" s="524"/>
      <c r="BI11" s="524"/>
      <c r="BJ11" s="524"/>
      <c r="BK11" s="524"/>
      <c r="BL11" s="524"/>
      <c r="BM11" s="524"/>
    </row>
    <row r="12" spans="1:65" s="3" customFormat="1" ht="21.75" customHeight="1">
      <c r="A12" s="501"/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</row>
    <row r="13" spans="1:65" s="3" customFormat="1" ht="15.7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</row>
    <row r="14" spans="1:65" s="3" customFormat="1" ht="15.75" customHeight="1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32" t="s">
        <v>289</v>
      </c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</row>
    <row r="15" spans="1:65" s="3" customFormat="1" ht="15.75" customHeight="1">
      <c r="A15" s="501" t="s">
        <v>120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9" t="s">
        <v>122</v>
      </c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3" customFormat="1" ht="15.75" customHeight="1">
      <c r="A16" s="501" t="s">
        <v>46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9" t="s">
        <v>85</v>
      </c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25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15.75" customHeight="1">
      <c r="A17" s="500" t="s">
        <v>484</v>
      </c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8">
        <v>3</v>
      </c>
      <c r="P17" s="508"/>
      <c r="Q17" s="499" t="s">
        <v>195</v>
      </c>
      <c r="R17" s="499"/>
      <c r="S17" s="499"/>
      <c r="T17" s="508">
        <v>10</v>
      </c>
      <c r="U17" s="508"/>
      <c r="V17" s="537" t="s">
        <v>196</v>
      </c>
      <c r="W17" s="537"/>
      <c r="X17" s="537"/>
      <c r="Y17" s="537"/>
      <c r="Z17" s="537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3"/>
      <c r="BD17" s="24"/>
      <c r="BE17" s="24"/>
      <c r="BF17" s="24"/>
      <c r="BG17" s="24"/>
      <c r="BH17" s="24"/>
      <c r="BI17" s="24"/>
      <c r="BJ17" s="24"/>
      <c r="BK17" s="24"/>
      <c r="BL17" s="24"/>
      <c r="BM17" s="24"/>
    </row>
    <row r="18" spans="1:65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35" t="s">
        <v>493</v>
      </c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30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1:65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ht="12.75">
      <c r="A20" s="520" t="s">
        <v>8</v>
      </c>
      <c r="B20" s="493" t="s">
        <v>9</v>
      </c>
      <c r="C20" s="494"/>
      <c r="D20" s="494"/>
      <c r="E20" s="495"/>
      <c r="F20" s="502" t="s">
        <v>344</v>
      </c>
      <c r="G20" s="493" t="s">
        <v>23</v>
      </c>
      <c r="H20" s="494"/>
      <c r="I20" s="495"/>
      <c r="J20" s="502" t="s">
        <v>345</v>
      </c>
      <c r="K20" s="493" t="s">
        <v>10</v>
      </c>
      <c r="L20" s="494"/>
      <c r="M20" s="494"/>
      <c r="N20" s="495"/>
      <c r="O20" s="493" t="s">
        <v>11</v>
      </c>
      <c r="P20" s="494"/>
      <c r="Q20" s="494"/>
      <c r="R20" s="495"/>
      <c r="S20" s="502" t="s">
        <v>346</v>
      </c>
      <c r="T20" s="493" t="s">
        <v>12</v>
      </c>
      <c r="U20" s="494"/>
      <c r="V20" s="495"/>
      <c r="W20" s="502" t="s">
        <v>347</v>
      </c>
      <c r="X20" s="493" t="s">
        <v>13</v>
      </c>
      <c r="Y20" s="494"/>
      <c r="Z20" s="495"/>
      <c r="AA20" s="502" t="s">
        <v>535</v>
      </c>
      <c r="AB20" s="493" t="s">
        <v>14</v>
      </c>
      <c r="AC20" s="494"/>
      <c r="AD20" s="494"/>
      <c r="AE20" s="495"/>
      <c r="AF20" s="502" t="s">
        <v>348</v>
      </c>
      <c r="AG20" s="493" t="s">
        <v>15</v>
      </c>
      <c r="AH20" s="494"/>
      <c r="AI20" s="495"/>
      <c r="AJ20" s="502" t="s">
        <v>349</v>
      </c>
      <c r="AK20" s="493" t="s">
        <v>16</v>
      </c>
      <c r="AL20" s="494"/>
      <c r="AM20" s="494"/>
      <c r="AN20" s="495"/>
      <c r="AO20" s="493" t="s">
        <v>17</v>
      </c>
      <c r="AP20" s="494"/>
      <c r="AQ20" s="494"/>
      <c r="AR20" s="495"/>
      <c r="AS20" s="502" t="s">
        <v>350</v>
      </c>
      <c r="AT20" s="493" t="s">
        <v>18</v>
      </c>
      <c r="AU20" s="494"/>
      <c r="AV20" s="495"/>
      <c r="AW20" s="502" t="s">
        <v>351</v>
      </c>
      <c r="AX20" s="493" t="s">
        <v>19</v>
      </c>
      <c r="AY20" s="494"/>
      <c r="AZ20" s="494"/>
      <c r="BA20" s="495"/>
      <c r="BB20" s="540" t="s">
        <v>50</v>
      </c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2"/>
    </row>
    <row r="21" spans="1:65" ht="15.75" customHeight="1">
      <c r="A21" s="521"/>
      <c r="B21" s="496"/>
      <c r="C21" s="497"/>
      <c r="D21" s="497"/>
      <c r="E21" s="498"/>
      <c r="F21" s="503"/>
      <c r="G21" s="496"/>
      <c r="H21" s="497"/>
      <c r="I21" s="498"/>
      <c r="J21" s="503"/>
      <c r="K21" s="496"/>
      <c r="L21" s="497"/>
      <c r="M21" s="497"/>
      <c r="N21" s="498"/>
      <c r="O21" s="496"/>
      <c r="P21" s="497"/>
      <c r="Q21" s="497"/>
      <c r="R21" s="498"/>
      <c r="S21" s="503"/>
      <c r="T21" s="496"/>
      <c r="U21" s="497"/>
      <c r="V21" s="498"/>
      <c r="W21" s="503"/>
      <c r="X21" s="496"/>
      <c r="Y21" s="497"/>
      <c r="Z21" s="498"/>
      <c r="AA21" s="503"/>
      <c r="AB21" s="496"/>
      <c r="AC21" s="497"/>
      <c r="AD21" s="497"/>
      <c r="AE21" s="498"/>
      <c r="AF21" s="503"/>
      <c r="AG21" s="496"/>
      <c r="AH21" s="497"/>
      <c r="AI21" s="498"/>
      <c r="AJ21" s="503"/>
      <c r="AK21" s="496"/>
      <c r="AL21" s="497"/>
      <c r="AM21" s="497"/>
      <c r="AN21" s="498"/>
      <c r="AO21" s="496"/>
      <c r="AP21" s="497"/>
      <c r="AQ21" s="497"/>
      <c r="AR21" s="498"/>
      <c r="AS21" s="503"/>
      <c r="AT21" s="496"/>
      <c r="AU21" s="497"/>
      <c r="AV21" s="498"/>
      <c r="AW21" s="503"/>
      <c r="AX21" s="496"/>
      <c r="AY21" s="497"/>
      <c r="AZ21" s="497"/>
      <c r="BA21" s="498"/>
      <c r="BB21" s="510" t="s">
        <v>6</v>
      </c>
      <c r="BC21" s="511"/>
      <c r="BD21" s="512"/>
      <c r="BE21" s="510" t="s">
        <v>216</v>
      </c>
      <c r="BF21" s="511"/>
      <c r="BG21" s="512"/>
      <c r="BH21" s="490" t="s">
        <v>4</v>
      </c>
      <c r="BI21" s="490" t="s">
        <v>100</v>
      </c>
      <c r="BJ21" s="490" t="s">
        <v>51</v>
      </c>
      <c r="BK21" s="490" t="s">
        <v>456</v>
      </c>
      <c r="BL21" s="490" t="s">
        <v>43</v>
      </c>
      <c r="BM21" s="490" t="s">
        <v>1</v>
      </c>
    </row>
    <row r="22" spans="1:65" ht="15.75" customHeight="1">
      <c r="A22" s="521"/>
      <c r="B22" s="7">
        <v>1</v>
      </c>
      <c r="C22" s="7">
        <v>8</v>
      </c>
      <c r="D22" s="7">
        <v>15</v>
      </c>
      <c r="E22" s="7">
        <v>22</v>
      </c>
      <c r="F22" s="504" t="s">
        <v>352</v>
      </c>
      <c r="G22" s="7">
        <v>6</v>
      </c>
      <c r="H22" s="7">
        <v>13</v>
      </c>
      <c r="I22" s="7">
        <v>20</v>
      </c>
      <c r="J22" s="504" t="s">
        <v>353</v>
      </c>
      <c r="K22" s="7">
        <v>3</v>
      </c>
      <c r="L22" s="7">
        <v>10</v>
      </c>
      <c r="M22" s="7">
        <v>17</v>
      </c>
      <c r="N22" s="7">
        <v>24</v>
      </c>
      <c r="O22" s="7">
        <v>1</v>
      </c>
      <c r="P22" s="7">
        <v>8</v>
      </c>
      <c r="Q22" s="7">
        <v>15</v>
      </c>
      <c r="R22" s="7">
        <v>22</v>
      </c>
      <c r="S22" s="504" t="s">
        <v>354</v>
      </c>
      <c r="T22" s="7">
        <v>5</v>
      </c>
      <c r="U22" s="7">
        <v>12</v>
      </c>
      <c r="V22" s="7">
        <v>19</v>
      </c>
      <c r="W22" s="504" t="s">
        <v>355</v>
      </c>
      <c r="X22" s="7">
        <v>2</v>
      </c>
      <c r="Y22" s="7">
        <v>9</v>
      </c>
      <c r="Z22" s="7">
        <v>16</v>
      </c>
      <c r="AA22" s="504" t="s">
        <v>356</v>
      </c>
      <c r="AB22" s="7">
        <v>2</v>
      </c>
      <c r="AC22" s="7">
        <v>9</v>
      </c>
      <c r="AD22" s="7">
        <v>16</v>
      </c>
      <c r="AE22" s="7">
        <v>23</v>
      </c>
      <c r="AF22" s="504" t="s">
        <v>357</v>
      </c>
      <c r="AG22" s="7">
        <v>6</v>
      </c>
      <c r="AH22" s="7">
        <v>13</v>
      </c>
      <c r="AI22" s="7">
        <v>20</v>
      </c>
      <c r="AJ22" s="504" t="s">
        <v>358</v>
      </c>
      <c r="AK22" s="7">
        <v>4</v>
      </c>
      <c r="AL22" s="7">
        <v>11</v>
      </c>
      <c r="AM22" s="7">
        <v>18</v>
      </c>
      <c r="AN22" s="7">
        <v>25</v>
      </c>
      <c r="AO22" s="7">
        <v>1</v>
      </c>
      <c r="AP22" s="7">
        <v>8</v>
      </c>
      <c r="AQ22" s="7">
        <v>15</v>
      </c>
      <c r="AR22" s="7">
        <v>22</v>
      </c>
      <c r="AS22" s="504" t="s">
        <v>359</v>
      </c>
      <c r="AT22" s="7">
        <v>6</v>
      </c>
      <c r="AU22" s="7">
        <v>13</v>
      </c>
      <c r="AV22" s="7">
        <v>20</v>
      </c>
      <c r="AW22" s="504" t="s">
        <v>360</v>
      </c>
      <c r="AX22" s="7">
        <v>2</v>
      </c>
      <c r="AY22" s="7">
        <v>9</v>
      </c>
      <c r="AZ22" s="7">
        <v>16</v>
      </c>
      <c r="BA22" s="7">
        <v>23</v>
      </c>
      <c r="BB22" s="513"/>
      <c r="BC22" s="514"/>
      <c r="BD22" s="515"/>
      <c r="BE22" s="513"/>
      <c r="BF22" s="514"/>
      <c r="BG22" s="515"/>
      <c r="BH22" s="491"/>
      <c r="BI22" s="491"/>
      <c r="BJ22" s="491"/>
      <c r="BK22" s="491"/>
      <c r="BL22" s="491"/>
      <c r="BM22" s="491"/>
    </row>
    <row r="23" spans="1:65" ht="18" customHeight="1">
      <c r="A23" s="521"/>
      <c r="B23" s="4">
        <v>7</v>
      </c>
      <c r="C23" s="4">
        <v>14</v>
      </c>
      <c r="D23" s="4">
        <v>21</v>
      </c>
      <c r="E23" s="4">
        <v>28</v>
      </c>
      <c r="F23" s="505"/>
      <c r="G23" s="4">
        <v>12</v>
      </c>
      <c r="H23" s="4">
        <v>19</v>
      </c>
      <c r="I23" s="4">
        <v>26</v>
      </c>
      <c r="J23" s="505"/>
      <c r="K23" s="4">
        <v>9</v>
      </c>
      <c r="L23" s="4">
        <v>16</v>
      </c>
      <c r="M23" s="4">
        <v>23</v>
      </c>
      <c r="N23" s="4">
        <v>30</v>
      </c>
      <c r="O23" s="4">
        <v>7</v>
      </c>
      <c r="P23" s="4">
        <v>14</v>
      </c>
      <c r="Q23" s="4">
        <v>21</v>
      </c>
      <c r="R23" s="4">
        <v>28</v>
      </c>
      <c r="S23" s="505"/>
      <c r="T23" s="4">
        <v>11</v>
      </c>
      <c r="U23" s="4">
        <v>18</v>
      </c>
      <c r="V23" s="4">
        <v>25</v>
      </c>
      <c r="W23" s="505"/>
      <c r="X23" s="4">
        <v>8</v>
      </c>
      <c r="Y23" s="4">
        <v>15</v>
      </c>
      <c r="Z23" s="4">
        <v>22</v>
      </c>
      <c r="AA23" s="505"/>
      <c r="AB23" s="4">
        <v>8</v>
      </c>
      <c r="AC23" s="4">
        <v>15</v>
      </c>
      <c r="AD23" s="4">
        <v>22</v>
      </c>
      <c r="AE23" s="4">
        <v>29</v>
      </c>
      <c r="AF23" s="505"/>
      <c r="AG23" s="4">
        <v>12</v>
      </c>
      <c r="AH23" s="4">
        <v>19</v>
      </c>
      <c r="AI23" s="4">
        <v>26</v>
      </c>
      <c r="AJ23" s="505"/>
      <c r="AK23" s="4">
        <v>10</v>
      </c>
      <c r="AL23" s="4">
        <v>17</v>
      </c>
      <c r="AM23" s="4">
        <v>24</v>
      </c>
      <c r="AN23" s="4">
        <v>31</v>
      </c>
      <c r="AO23" s="4">
        <v>7</v>
      </c>
      <c r="AP23" s="4">
        <v>14</v>
      </c>
      <c r="AQ23" s="4">
        <v>21</v>
      </c>
      <c r="AR23" s="4">
        <v>28</v>
      </c>
      <c r="AS23" s="505"/>
      <c r="AT23" s="4">
        <v>12</v>
      </c>
      <c r="AU23" s="4">
        <v>19</v>
      </c>
      <c r="AV23" s="4">
        <v>26</v>
      </c>
      <c r="AW23" s="505"/>
      <c r="AX23" s="4">
        <v>8</v>
      </c>
      <c r="AY23" s="4">
        <v>15</v>
      </c>
      <c r="AZ23" s="4">
        <v>22</v>
      </c>
      <c r="BA23" s="4">
        <v>31</v>
      </c>
      <c r="BB23" s="516"/>
      <c r="BC23" s="517"/>
      <c r="BD23" s="518"/>
      <c r="BE23" s="516"/>
      <c r="BF23" s="517"/>
      <c r="BG23" s="518"/>
      <c r="BH23" s="491"/>
      <c r="BI23" s="491"/>
      <c r="BJ23" s="491"/>
      <c r="BK23" s="491"/>
      <c r="BL23" s="491"/>
      <c r="BM23" s="491"/>
    </row>
    <row r="24" spans="1:65" ht="15.75" customHeight="1">
      <c r="A24" s="522"/>
      <c r="B24" s="159">
        <v>1</v>
      </c>
      <c r="C24" s="159">
        <v>2</v>
      </c>
      <c r="D24" s="159">
        <v>3</v>
      </c>
      <c r="E24" s="159">
        <v>4</v>
      </c>
      <c r="F24" s="159">
        <v>5</v>
      </c>
      <c r="G24" s="159">
        <v>6</v>
      </c>
      <c r="H24" s="159">
        <v>7</v>
      </c>
      <c r="I24" s="159">
        <v>8</v>
      </c>
      <c r="J24" s="159">
        <v>9</v>
      </c>
      <c r="K24" s="159">
        <v>10</v>
      </c>
      <c r="L24" s="159">
        <v>11</v>
      </c>
      <c r="M24" s="159">
        <v>12</v>
      </c>
      <c r="N24" s="159">
        <v>13</v>
      </c>
      <c r="O24" s="159">
        <v>14</v>
      </c>
      <c r="P24" s="159">
        <v>15</v>
      </c>
      <c r="Q24" s="159">
        <v>16</v>
      </c>
      <c r="R24" s="159">
        <v>17</v>
      </c>
      <c r="S24" s="159">
        <v>18</v>
      </c>
      <c r="T24" s="159">
        <v>19</v>
      </c>
      <c r="U24" s="159">
        <v>20</v>
      </c>
      <c r="V24" s="159">
        <v>21</v>
      </c>
      <c r="W24" s="159">
        <v>22</v>
      </c>
      <c r="X24" s="159">
        <v>23</v>
      </c>
      <c r="Y24" s="159">
        <v>24</v>
      </c>
      <c r="Z24" s="159">
        <v>25</v>
      </c>
      <c r="AA24" s="159">
        <v>26</v>
      </c>
      <c r="AB24" s="159">
        <v>27</v>
      </c>
      <c r="AC24" s="159">
        <v>28</v>
      </c>
      <c r="AD24" s="159">
        <v>29</v>
      </c>
      <c r="AE24" s="159">
        <v>30</v>
      </c>
      <c r="AF24" s="159">
        <v>31</v>
      </c>
      <c r="AG24" s="159">
        <v>32</v>
      </c>
      <c r="AH24" s="159">
        <v>33</v>
      </c>
      <c r="AI24" s="159">
        <v>34</v>
      </c>
      <c r="AJ24" s="159">
        <v>35</v>
      </c>
      <c r="AK24" s="159">
        <v>36</v>
      </c>
      <c r="AL24" s="159">
        <v>37</v>
      </c>
      <c r="AM24" s="159">
        <v>38</v>
      </c>
      <c r="AN24" s="159">
        <v>39</v>
      </c>
      <c r="AO24" s="159">
        <v>40</v>
      </c>
      <c r="AP24" s="159">
        <v>41</v>
      </c>
      <c r="AQ24" s="159">
        <v>42</v>
      </c>
      <c r="AR24" s="159">
        <v>43</v>
      </c>
      <c r="AS24" s="159">
        <v>44</v>
      </c>
      <c r="AT24" s="159">
        <v>45</v>
      </c>
      <c r="AU24" s="159">
        <v>46</v>
      </c>
      <c r="AV24" s="159">
        <v>47</v>
      </c>
      <c r="AW24" s="159">
        <v>48</v>
      </c>
      <c r="AX24" s="159">
        <v>49</v>
      </c>
      <c r="AY24" s="159">
        <v>50</v>
      </c>
      <c r="AZ24" s="159">
        <v>51</v>
      </c>
      <c r="BA24" s="159">
        <v>52</v>
      </c>
      <c r="BB24" s="4" t="s">
        <v>63</v>
      </c>
      <c r="BC24" s="4" t="s">
        <v>31</v>
      </c>
      <c r="BD24" s="4" t="s">
        <v>52</v>
      </c>
      <c r="BE24" s="4" t="s">
        <v>63</v>
      </c>
      <c r="BF24" s="4" t="s">
        <v>31</v>
      </c>
      <c r="BG24" s="4" t="s">
        <v>52</v>
      </c>
      <c r="BH24" s="492"/>
      <c r="BI24" s="492"/>
      <c r="BJ24" s="492"/>
      <c r="BK24" s="492"/>
      <c r="BL24" s="492"/>
      <c r="BM24" s="492"/>
    </row>
    <row r="25" spans="1:65" ht="15.75" customHeight="1">
      <c r="A25" s="8">
        <v>1</v>
      </c>
      <c r="B25" s="160" t="s">
        <v>63</v>
      </c>
      <c r="C25" s="160" t="s">
        <v>63</v>
      </c>
      <c r="D25" s="160" t="s">
        <v>63</v>
      </c>
      <c r="E25" s="160" t="s">
        <v>63</v>
      </c>
      <c r="F25" s="160" t="s">
        <v>63</v>
      </c>
      <c r="G25" s="160" t="s">
        <v>63</v>
      </c>
      <c r="H25" s="160" t="s">
        <v>63</v>
      </c>
      <c r="I25" s="160" t="s">
        <v>63</v>
      </c>
      <c r="J25" s="160" t="s">
        <v>63</v>
      </c>
      <c r="K25" s="160" t="s">
        <v>63</v>
      </c>
      <c r="L25" s="160" t="s">
        <v>63</v>
      </c>
      <c r="M25" s="160" t="s">
        <v>63</v>
      </c>
      <c r="N25" s="160" t="s">
        <v>63</v>
      </c>
      <c r="O25" s="160" t="s">
        <v>63</v>
      </c>
      <c r="P25" s="160" t="s">
        <v>63</v>
      </c>
      <c r="Q25" s="160" t="s">
        <v>63</v>
      </c>
      <c r="R25" s="335" t="s">
        <v>153</v>
      </c>
      <c r="S25" s="332" t="s">
        <v>27</v>
      </c>
      <c r="T25" s="332" t="s">
        <v>27</v>
      </c>
      <c r="U25" s="160" t="s">
        <v>31</v>
      </c>
      <c r="V25" s="160" t="s">
        <v>31</v>
      </c>
      <c r="W25" s="160" t="s">
        <v>31</v>
      </c>
      <c r="X25" s="160" t="s">
        <v>31</v>
      </c>
      <c r="Y25" s="160" t="s">
        <v>31</v>
      </c>
      <c r="Z25" s="160" t="s">
        <v>31</v>
      </c>
      <c r="AA25" s="160" t="s">
        <v>31</v>
      </c>
      <c r="AB25" s="160" t="s">
        <v>31</v>
      </c>
      <c r="AC25" s="160" t="s">
        <v>31</v>
      </c>
      <c r="AD25" s="160" t="s">
        <v>31</v>
      </c>
      <c r="AE25" s="160" t="s">
        <v>31</v>
      </c>
      <c r="AF25" s="160" t="s">
        <v>31</v>
      </c>
      <c r="AG25" s="160" t="s">
        <v>31</v>
      </c>
      <c r="AH25" s="160" t="s">
        <v>31</v>
      </c>
      <c r="AI25" s="160" t="s">
        <v>31</v>
      </c>
      <c r="AJ25" s="160" t="s">
        <v>31</v>
      </c>
      <c r="AK25" s="160" t="s">
        <v>31</v>
      </c>
      <c r="AL25" s="160" t="s">
        <v>31</v>
      </c>
      <c r="AM25" s="160" t="s">
        <v>31</v>
      </c>
      <c r="AN25" s="160" t="s">
        <v>31</v>
      </c>
      <c r="AO25" s="160" t="s">
        <v>31</v>
      </c>
      <c r="AP25" s="160" t="s">
        <v>31</v>
      </c>
      <c r="AQ25" s="160" t="s">
        <v>31</v>
      </c>
      <c r="AR25" s="160" t="s">
        <v>154</v>
      </c>
      <c r="AS25" s="332" t="s">
        <v>27</v>
      </c>
      <c r="AT25" s="332" t="s">
        <v>27</v>
      </c>
      <c r="AU25" s="332" t="s">
        <v>27</v>
      </c>
      <c r="AV25" s="332" t="s">
        <v>27</v>
      </c>
      <c r="AW25" s="332" t="s">
        <v>27</v>
      </c>
      <c r="AX25" s="332" t="s">
        <v>27</v>
      </c>
      <c r="AY25" s="332" t="s">
        <v>27</v>
      </c>
      <c r="AZ25" s="332" t="s">
        <v>27</v>
      </c>
      <c r="BA25" s="332" t="s">
        <v>27</v>
      </c>
      <c r="BB25" s="19">
        <f>COUNTIF(B25:BA25,"о")</f>
        <v>16</v>
      </c>
      <c r="BC25" s="19">
        <f>COUNTIF(B25:BA25,"в")</f>
        <v>23</v>
      </c>
      <c r="BD25" s="19">
        <f>SUM(BB25:BC25)</f>
        <v>39</v>
      </c>
      <c r="BE25" s="19">
        <f>COUNTIF(B25:BA25,$R$32)</f>
        <v>1</v>
      </c>
      <c r="BF25" s="19">
        <f>COUNTIF(B25:BA25,$R$34)</f>
        <v>1</v>
      </c>
      <c r="BG25" s="19">
        <f>SUM(BE25:BF25)</f>
        <v>2</v>
      </c>
      <c r="BH25" s="19">
        <f>COUNTIF(B25:BA25,$AF$32)</f>
        <v>0</v>
      </c>
      <c r="BI25" s="19">
        <f>COUNTIF(B25:BA25,$AF$34)</f>
        <v>0</v>
      </c>
      <c r="BJ25" s="19">
        <f>COUNTIF(B25:BA25,$AZ$32)</f>
        <v>0</v>
      </c>
      <c r="BK25" s="19">
        <f>COUNTIF(B25:BA25,$AQ$34)</f>
        <v>0</v>
      </c>
      <c r="BL25" s="19">
        <f>COUNTIF(B25:BA25,$BF$32)</f>
        <v>11</v>
      </c>
      <c r="BM25" s="19">
        <f>SUM(BG25:BL25)+BD25</f>
        <v>52</v>
      </c>
    </row>
    <row r="26" spans="1:69" ht="15.75" customHeight="1">
      <c r="A26" s="8">
        <v>2</v>
      </c>
      <c r="B26" s="160" t="s">
        <v>63</v>
      </c>
      <c r="C26" s="160" t="s">
        <v>63</v>
      </c>
      <c r="D26" s="160" t="s">
        <v>63</v>
      </c>
      <c r="E26" s="160" t="s">
        <v>63</v>
      </c>
      <c r="F26" s="160" t="s">
        <v>63</v>
      </c>
      <c r="G26" s="160" t="s">
        <v>63</v>
      </c>
      <c r="H26" s="160" t="s">
        <v>63</v>
      </c>
      <c r="I26" s="160" t="s">
        <v>63</v>
      </c>
      <c r="J26" s="160" t="s">
        <v>63</v>
      </c>
      <c r="K26" s="160" t="s">
        <v>63</v>
      </c>
      <c r="L26" s="160" t="s">
        <v>63</v>
      </c>
      <c r="M26" s="160" t="s">
        <v>63</v>
      </c>
      <c r="N26" s="160" t="s">
        <v>63</v>
      </c>
      <c r="O26" s="160" t="s">
        <v>63</v>
      </c>
      <c r="P26" s="160" t="s">
        <v>63</v>
      </c>
      <c r="Q26" s="160" t="s">
        <v>63</v>
      </c>
      <c r="R26" s="160" t="s">
        <v>153</v>
      </c>
      <c r="S26" s="332" t="s">
        <v>27</v>
      </c>
      <c r="T26" s="332" t="s">
        <v>27</v>
      </c>
      <c r="U26" s="160" t="s">
        <v>31</v>
      </c>
      <c r="V26" s="160" t="s">
        <v>31</v>
      </c>
      <c r="W26" s="160" t="s">
        <v>31</v>
      </c>
      <c r="X26" s="160" t="s">
        <v>31</v>
      </c>
      <c r="Y26" s="160" t="s">
        <v>31</v>
      </c>
      <c r="Z26" s="160" t="s">
        <v>31</v>
      </c>
      <c r="AA26" s="160" t="s">
        <v>31</v>
      </c>
      <c r="AB26" s="160" t="s">
        <v>31</v>
      </c>
      <c r="AC26" s="160" t="s">
        <v>31</v>
      </c>
      <c r="AD26" s="160" t="s">
        <v>31</v>
      </c>
      <c r="AE26" s="160" t="s">
        <v>31</v>
      </c>
      <c r="AF26" s="160" t="s">
        <v>31</v>
      </c>
      <c r="AG26" s="160" t="s">
        <v>31</v>
      </c>
      <c r="AH26" s="160" t="s">
        <v>31</v>
      </c>
      <c r="AI26" s="160" t="s">
        <v>31</v>
      </c>
      <c r="AJ26" s="160" t="s">
        <v>31</v>
      </c>
      <c r="AK26" s="160" t="s">
        <v>31</v>
      </c>
      <c r="AL26" s="160" t="s">
        <v>31</v>
      </c>
      <c r="AM26" s="160" t="s">
        <v>31</v>
      </c>
      <c r="AN26" s="160" t="s">
        <v>154</v>
      </c>
      <c r="AO26" s="160" t="s">
        <v>47</v>
      </c>
      <c r="AP26" s="160" t="s">
        <v>47</v>
      </c>
      <c r="AQ26" s="160" t="s">
        <v>47</v>
      </c>
      <c r="AR26" s="160" t="s">
        <v>47</v>
      </c>
      <c r="AS26" s="332" t="s">
        <v>27</v>
      </c>
      <c r="AT26" s="332" t="s">
        <v>27</v>
      </c>
      <c r="AU26" s="332" t="s">
        <v>27</v>
      </c>
      <c r="AV26" s="332" t="s">
        <v>27</v>
      </c>
      <c r="AW26" s="332" t="s">
        <v>27</v>
      </c>
      <c r="AX26" s="332" t="s">
        <v>27</v>
      </c>
      <c r="AY26" s="332" t="s">
        <v>27</v>
      </c>
      <c r="AZ26" s="332" t="s">
        <v>27</v>
      </c>
      <c r="BA26" s="332" t="s">
        <v>27</v>
      </c>
      <c r="BB26" s="19">
        <f>COUNTIF(B26:BA26,"о")</f>
        <v>16</v>
      </c>
      <c r="BC26" s="19">
        <f>COUNTIF(B26:BA26,"в")</f>
        <v>19</v>
      </c>
      <c r="BD26" s="19">
        <f>SUM(BB26:BC26)</f>
        <v>35</v>
      </c>
      <c r="BE26" s="19">
        <f>COUNTIF(B26:BA26,$R$32)</f>
        <v>1</v>
      </c>
      <c r="BF26" s="19">
        <f>COUNTIF(B26:BA26,$R$34)</f>
        <v>1</v>
      </c>
      <c r="BG26" s="19">
        <f>SUM(BE26:BF26)</f>
        <v>2</v>
      </c>
      <c r="BH26" s="19">
        <f>COUNTIF(B26:BA26,$AF$32)</f>
        <v>4</v>
      </c>
      <c r="BI26" s="19">
        <f>COUNTIF(B26:BA26,$AF$34)</f>
        <v>0</v>
      </c>
      <c r="BJ26" s="19">
        <f>COUNTIF(B26:BA26,$AZ$32)</f>
        <v>0</v>
      </c>
      <c r="BK26" s="19">
        <f>COUNTIF(B26:BA26,$AQ$34)</f>
        <v>0</v>
      </c>
      <c r="BL26" s="19">
        <f>COUNTIF(B26:BA26,$BF$32)</f>
        <v>11</v>
      </c>
      <c r="BM26" s="19">
        <f>SUM(BG26:BL26)+BD26</f>
        <v>52</v>
      </c>
      <c r="BP26" s="434"/>
      <c r="BQ26" s="434"/>
    </row>
    <row r="27" spans="1:69" ht="13.5" customHeight="1">
      <c r="A27" s="8">
        <v>3</v>
      </c>
      <c r="B27" s="160" t="s">
        <v>63</v>
      </c>
      <c r="C27" s="160" t="s">
        <v>63</v>
      </c>
      <c r="D27" s="160" t="s">
        <v>63</v>
      </c>
      <c r="E27" s="160" t="s">
        <v>63</v>
      </c>
      <c r="F27" s="160" t="s">
        <v>63</v>
      </c>
      <c r="G27" s="160" t="s">
        <v>63</v>
      </c>
      <c r="H27" s="160" t="s">
        <v>63</v>
      </c>
      <c r="I27" s="160" t="s">
        <v>63</v>
      </c>
      <c r="J27" s="160" t="s">
        <v>63</v>
      </c>
      <c r="K27" s="160" t="s">
        <v>63</v>
      </c>
      <c r="L27" s="160" t="s">
        <v>63</v>
      </c>
      <c r="M27" s="160" t="s">
        <v>63</v>
      </c>
      <c r="N27" s="160" t="s">
        <v>63</v>
      </c>
      <c r="O27" s="160" t="s">
        <v>63</v>
      </c>
      <c r="P27" s="160" t="s">
        <v>63</v>
      </c>
      <c r="Q27" s="160" t="s">
        <v>63</v>
      </c>
      <c r="R27" s="160" t="s">
        <v>63</v>
      </c>
      <c r="S27" s="332" t="s">
        <v>27</v>
      </c>
      <c r="T27" s="332" t="s">
        <v>27</v>
      </c>
      <c r="U27" s="160" t="s">
        <v>31</v>
      </c>
      <c r="V27" s="160" t="s">
        <v>31</v>
      </c>
      <c r="W27" s="160" t="s">
        <v>31</v>
      </c>
      <c r="X27" s="160" t="s">
        <v>31</v>
      </c>
      <c r="Y27" s="160" t="s">
        <v>31</v>
      </c>
      <c r="Z27" s="160" t="s">
        <v>31</v>
      </c>
      <c r="AA27" s="160" t="s">
        <v>31</v>
      </c>
      <c r="AB27" s="160" t="s">
        <v>31</v>
      </c>
      <c r="AC27" s="160" t="s">
        <v>31</v>
      </c>
      <c r="AD27" s="160" t="s">
        <v>31</v>
      </c>
      <c r="AE27" s="160" t="s">
        <v>31</v>
      </c>
      <c r="AF27" s="160" t="s">
        <v>31</v>
      </c>
      <c r="AG27" s="160" t="s">
        <v>154</v>
      </c>
      <c r="AH27" s="332" t="s">
        <v>27</v>
      </c>
      <c r="AI27" s="332" t="s">
        <v>27</v>
      </c>
      <c r="AJ27" s="332" t="s">
        <v>27</v>
      </c>
      <c r="AK27" s="332" t="s">
        <v>27</v>
      </c>
      <c r="AL27" s="332" t="s">
        <v>27</v>
      </c>
      <c r="AM27" s="332" t="s">
        <v>27</v>
      </c>
      <c r="AN27" s="332" t="s">
        <v>27</v>
      </c>
      <c r="AO27" s="332" t="s">
        <v>27</v>
      </c>
      <c r="AP27" s="333" t="s">
        <v>48</v>
      </c>
      <c r="AQ27" s="333" t="s">
        <v>48</v>
      </c>
      <c r="AR27" s="333" t="s">
        <v>48</v>
      </c>
      <c r="AS27" s="333" t="s">
        <v>48</v>
      </c>
      <c r="AT27" s="333" t="s">
        <v>48</v>
      </c>
      <c r="AU27" s="333" t="s">
        <v>48</v>
      </c>
      <c r="AV27" s="333" t="s">
        <v>48</v>
      </c>
      <c r="AW27" s="333" t="s">
        <v>48</v>
      </c>
      <c r="AX27" s="333" t="s">
        <v>48</v>
      </c>
      <c r="AY27" s="333" t="s">
        <v>48</v>
      </c>
      <c r="AZ27" s="333" t="s">
        <v>48</v>
      </c>
      <c r="BA27" s="333" t="s">
        <v>48</v>
      </c>
      <c r="BB27" s="19">
        <f>COUNTIF(B27:BA27,"о")</f>
        <v>17</v>
      </c>
      <c r="BC27" s="19">
        <f>COUNTIF(B27:BA27,"в")</f>
        <v>12</v>
      </c>
      <c r="BD27" s="19">
        <f>SUM(BB27:BC27)</f>
        <v>29</v>
      </c>
      <c r="BE27" s="19">
        <f>COUNTIF(B27:BA27,$R$32)</f>
        <v>0</v>
      </c>
      <c r="BF27" s="19">
        <f>COUNTIF(B27:BA27,$R$34)</f>
        <v>1</v>
      </c>
      <c r="BG27" s="19">
        <f>SUM(BE27:BF27)</f>
        <v>1</v>
      </c>
      <c r="BH27" s="19">
        <f>COUNTIF(B27:BA27,$AF$32)</f>
        <v>0</v>
      </c>
      <c r="BI27" s="19">
        <f>COUNTIF(B27:BA27,$AF$34)</f>
        <v>12</v>
      </c>
      <c r="BJ27" s="19">
        <f>COUNTIF(B27:BA27,$AZ$32)</f>
        <v>0</v>
      </c>
      <c r="BK27" s="19">
        <f>COUNTIF(B27:BA27,$AQ$34)</f>
        <v>0</v>
      </c>
      <c r="BL27" s="19">
        <f>COUNTIF(B27:BA27,$BF$32)</f>
        <v>10</v>
      </c>
      <c r="BM27" s="19">
        <f>SUM(BG27:BL27)+BD27</f>
        <v>52</v>
      </c>
      <c r="BP27" s="434"/>
      <c r="BQ27" s="434"/>
    </row>
    <row r="28" spans="1:65" ht="15.75" customHeight="1">
      <c r="A28" s="8">
        <v>4</v>
      </c>
      <c r="B28" s="333" t="s">
        <v>48</v>
      </c>
      <c r="C28" s="333" t="s">
        <v>48</v>
      </c>
      <c r="D28" s="333" t="s">
        <v>48</v>
      </c>
      <c r="E28" s="333" t="s">
        <v>48</v>
      </c>
      <c r="F28" s="333" t="s">
        <v>48</v>
      </c>
      <c r="G28" s="333" t="s">
        <v>48</v>
      </c>
      <c r="H28" s="333" t="s">
        <v>48</v>
      </c>
      <c r="I28" s="333" t="s">
        <v>48</v>
      </c>
      <c r="J28" s="333" t="s">
        <v>48</v>
      </c>
      <c r="K28" s="160" t="s">
        <v>63</v>
      </c>
      <c r="L28" s="160" t="s">
        <v>63</v>
      </c>
      <c r="M28" s="160" t="s">
        <v>63</v>
      </c>
      <c r="N28" s="160" t="s">
        <v>63</v>
      </c>
      <c r="O28" s="160" t="s">
        <v>63</v>
      </c>
      <c r="P28" s="160" t="s">
        <v>63</v>
      </c>
      <c r="Q28" s="160" t="s">
        <v>63</v>
      </c>
      <c r="R28" s="160" t="s">
        <v>63</v>
      </c>
      <c r="S28" s="332" t="s">
        <v>27</v>
      </c>
      <c r="T28" s="332" t="s">
        <v>27</v>
      </c>
      <c r="U28" s="160" t="s">
        <v>31</v>
      </c>
      <c r="V28" s="160" t="s">
        <v>31</v>
      </c>
      <c r="W28" s="160" t="s">
        <v>31</v>
      </c>
      <c r="X28" s="160" t="s">
        <v>31</v>
      </c>
      <c r="Y28" s="160" t="s">
        <v>31</v>
      </c>
      <c r="Z28" s="160" t="s">
        <v>31</v>
      </c>
      <c r="AA28" s="160" t="s">
        <v>31</v>
      </c>
      <c r="AB28" s="160" t="s">
        <v>31</v>
      </c>
      <c r="AC28" s="160" t="s">
        <v>31</v>
      </c>
      <c r="AD28" s="160" t="s">
        <v>31</v>
      </c>
      <c r="AE28" s="160" t="s">
        <v>31</v>
      </c>
      <c r="AF28" s="160" t="s">
        <v>31</v>
      </c>
      <c r="AG28" s="160" t="s">
        <v>154</v>
      </c>
      <c r="AH28" s="160" t="s">
        <v>154</v>
      </c>
      <c r="AI28" s="432" t="s">
        <v>48</v>
      </c>
      <c r="AJ28" s="432" t="s">
        <v>48</v>
      </c>
      <c r="AK28" s="432" t="s">
        <v>48</v>
      </c>
      <c r="AL28" s="432" t="s">
        <v>48</v>
      </c>
      <c r="AM28" s="160" t="s">
        <v>30</v>
      </c>
      <c r="AN28" s="160" t="s">
        <v>30</v>
      </c>
      <c r="AO28" s="160" t="s">
        <v>30</v>
      </c>
      <c r="AP28" s="160" t="s">
        <v>30</v>
      </c>
      <c r="AQ28" s="160" t="s">
        <v>30</v>
      </c>
      <c r="AR28" s="160" t="s">
        <v>30</v>
      </c>
      <c r="AS28" s="9" t="s">
        <v>20</v>
      </c>
      <c r="AT28" s="9" t="s">
        <v>20</v>
      </c>
      <c r="AU28" s="9" t="s">
        <v>20</v>
      </c>
      <c r="AV28" s="9" t="s">
        <v>20</v>
      </c>
      <c r="AW28" s="9" t="s">
        <v>20</v>
      </c>
      <c r="AX28" s="9" t="s">
        <v>20</v>
      </c>
      <c r="AY28" s="9" t="s">
        <v>20</v>
      </c>
      <c r="AZ28" s="9" t="s">
        <v>20</v>
      </c>
      <c r="BA28" s="9" t="s">
        <v>20</v>
      </c>
      <c r="BB28" s="19">
        <f>COUNTIF(B28:BA28,"о")</f>
        <v>8</v>
      </c>
      <c r="BC28" s="19">
        <f>COUNTIF(B28:BA28,"в")</f>
        <v>12</v>
      </c>
      <c r="BD28" s="19">
        <f>SUM(BB28:BC28)</f>
        <v>20</v>
      </c>
      <c r="BE28" s="19">
        <f>COUNTIF(B28:BA28,$R$32)</f>
        <v>0</v>
      </c>
      <c r="BF28" s="19">
        <f>COUNTIF(B28:BA28,$R$34)</f>
        <v>2</v>
      </c>
      <c r="BG28" s="19">
        <f>SUM(BE28:BF28)</f>
        <v>2</v>
      </c>
      <c r="BH28" s="19">
        <f>COUNTIF(B28:BA28,$AF$32)</f>
        <v>0</v>
      </c>
      <c r="BI28" s="19">
        <f>COUNTIF(B28:BA28,$AF$34)</f>
        <v>13</v>
      </c>
      <c r="BJ28" s="19">
        <f>COUNTIF(B28:BA28,$AZ$32)</f>
        <v>0</v>
      </c>
      <c r="BK28" s="19">
        <f>COUNTIF(B28:BA28,$AQ$34)</f>
        <v>6</v>
      </c>
      <c r="BL28" s="19">
        <f>COUNTIF(B28:BA28,$BF$32)</f>
        <v>2</v>
      </c>
      <c r="BM28" s="19">
        <f>SUM(BG28:BL28)+BD28</f>
        <v>43</v>
      </c>
    </row>
    <row r="29" spans="1:65" ht="15.75" customHeight="1" hidden="1">
      <c r="A29" s="8">
        <v>5</v>
      </c>
      <c r="B29" s="160" t="s">
        <v>24</v>
      </c>
      <c r="C29" s="160" t="s">
        <v>24</v>
      </c>
      <c r="D29" s="160" t="s">
        <v>24</v>
      </c>
      <c r="E29" s="160" t="s">
        <v>24</v>
      </c>
      <c r="F29" s="160" t="s">
        <v>24</v>
      </c>
      <c r="G29" s="160" t="s">
        <v>24</v>
      </c>
      <c r="H29" s="160" t="s">
        <v>24</v>
      </c>
      <c r="I29" s="160" t="s">
        <v>24</v>
      </c>
      <c r="J29" s="160" t="s">
        <v>24</v>
      </c>
      <c r="K29" s="160" t="s">
        <v>24</v>
      </c>
      <c r="L29" s="160" t="s">
        <v>24</v>
      </c>
      <c r="M29" s="160" t="s">
        <v>24</v>
      </c>
      <c r="N29" s="160" t="s">
        <v>24</v>
      </c>
      <c r="O29" s="160" t="s">
        <v>24</v>
      </c>
      <c r="P29" s="160" t="s">
        <v>24</v>
      </c>
      <c r="Q29" s="160" t="s">
        <v>24</v>
      </c>
      <c r="R29" s="160" t="s">
        <v>24</v>
      </c>
      <c r="S29" s="160" t="s">
        <v>24</v>
      </c>
      <c r="T29" s="160" t="s">
        <v>24</v>
      </c>
      <c r="U29" s="160" t="s">
        <v>24</v>
      </c>
      <c r="V29" s="160" t="s">
        <v>24</v>
      </c>
      <c r="W29" s="160" t="s">
        <v>24</v>
      </c>
      <c r="X29" s="160" t="s">
        <v>24</v>
      </c>
      <c r="Y29" s="160" t="s">
        <v>24</v>
      </c>
      <c r="Z29" s="160" t="s">
        <v>24</v>
      </c>
      <c r="AA29" s="160" t="s">
        <v>24</v>
      </c>
      <c r="AB29" s="160" t="s">
        <v>24</v>
      </c>
      <c r="AC29" s="160" t="s">
        <v>24</v>
      </c>
      <c r="AD29" s="160" t="s">
        <v>24</v>
      </c>
      <c r="AE29" s="160" t="s">
        <v>24</v>
      </c>
      <c r="AF29" s="330" t="s">
        <v>24</v>
      </c>
      <c r="AG29" s="160" t="s">
        <v>24</v>
      </c>
      <c r="AH29" s="160" t="s">
        <v>24</v>
      </c>
      <c r="AI29" s="160" t="s">
        <v>24</v>
      </c>
      <c r="AJ29" s="160" t="s">
        <v>24</v>
      </c>
      <c r="AK29" s="160" t="s">
        <v>24</v>
      </c>
      <c r="AL29" s="160" t="s">
        <v>24</v>
      </c>
      <c r="AM29" s="160" t="s">
        <v>24</v>
      </c>
      <c r="AN29" s="160" t="s">
        <v>24</v>
      </c>
      <c r="AO29" s="160" t="s">
        <v>24</v>
      </c>
      <c r="AP29" s="160" t="s">
        <v>24</v>
      </c>
      <c r="AQ29" s="160" t="s">
        <v>24</v>
      </c>
      <c r="AR29" s="160" t="s">
        <v>24</v>
      </c>
      <c r="AS29" s="160" t="s">
        <v>24</v>
      </c>
      <c r="AT29" s="160" t="s">
        <v>24</v>
      </c>
      <c r="AU29" s="160" t="s">
        <v>24</v>
      </c>
      <c r="AV29" s="160" t="s">
        <v>24</v>
      </c>
      <c r="AW29" s="160" t="s">
        <v>24</v>
      </c>
      <c r="AX29" s="160" t="s">
        <v>24</v>
      </c>
      <c r="AY29" s="160" t="s">
        <v>24</v>
      </c>
      <c r="AZ29" s="160" t="s">
        <v>24</v>
      </c>
      <c r="BA29" s="160" t="s">
        <v>24</v>
      </c>
      <c r="BB29" s="19">
        <f>COUNTIF(B29:BA29,"о")</f>
        <v>0</v>
      </c>
      <c r="BC29" s="19">
        <f>COUNTIF(B29:BA29,"в")</f>
        <v>0</v>
      </c>
      <c r="BD29" s="19">
        <f>SUM(BB29:BC29)</f>
        <v>0</v>
      </c>
      <c r="BE29" s="19">
        <f>COUNTIF(B29:BA29,$R$32)</f>
        <v>0</v>
      </c>
      <c r="BF29" s="19">
        <f>COUNTIF(B29:BA29,$R$34)</f>
        <v>0</v>
      </c>
      <c r="BG29" s="19">
        <f>SUM(BE29:BF29)</f>
        <v>0</v>
      </c>
      <c r="BH29" s="19">
        <f>COUNTIF(B29:BA29,$AF$32)</f>
        <v>0</v>
      </c>
      <c r="BI29" s="19">
        <f>COUNTIF(B29:BA29,$AF$34)</f>
        <v>0</v>
      </c>
      <c r="BJ29" s="19">
        <f>COUNTIF(B29:BA29,$AZ$32)</f>
        <v>0</v>
      </c>
      <c r="BK29" s="19">
        <f>COUNTIF(B29:BA29,$AQ$34)</f>
        <v>0</v>
      </c>
      <c r="BL29" s="19">
        <f>COUNTIF(B29:BA29,$AZ$34)</f>
        <v>0</v>
      </c>
      <c r="BM29" s="19">
        <f>SUM(BG29:BL29)+BD29</f>
        <v>0</v>
      </c>
    </row>
    <row r="30" spans="1:65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31"/>
      <c r="AG30" s="32"/>
      <c r="AH30" s="543"/>
      <c r="AI30" s="543"/>
      <c r="AJ30" s="543"/>
      <c r="AK30" s="543"/>
      <c r="AL30" s="543"/>
      <c r="AM30" s="543"/>
      <c r="AN30" s="543"/>
      <c r="AO30" s="543"/>
      <c r="AP30" s="543"/>
      <c r="AQ30" s="31"/>
      <c r="AR30" s="31"/>
      <c r="AS30" s="31"/>
      <c r="AT30" s="31"/>
      <c r="AU30" s="31"/>
      <c r="AV30" s="31"/>
      <c r="AW30" s="31"/>
      <c r="AX30" s="31"/>
      <c r="AY30" s="546" t="s">
        <v>49</v>
      </c>
      <c r="AZ30" s="546"/>
      <c r="BA30" s="546"/>
      <c r="BB30" s="10">
        <f aca="true" t="shared" si="0" ref="BB30:BM30">SUM(BB25:BB29)</f>
        <v>57</v>
      </c>
      <c r="BC30" s="10">
        <f t="shared" si="0"/>
        <v>66</v>
      </c>
      <c r="BD30" s="10">
        <f t="shared" si="0"/>
        <v>123</v>
      </c>
      <c r="BE30" s="10">
        <f t="shared" si="0"/>
        <v>2</v>
      </c>
      <c r="BF30" s="10">
        <f t="shared" si="0"/>
        <v>5</v>
      </c>
      <c r="BG30" s="10">
        <f t="shared" si="0"/>
        <v>7</v>
      </c>
      <c r="BH30" s="10">
        <f t="shared" si="0"/>
        <v>4</v>
      </c>
      <c r="BI30" s="10">
        <f t="shared" si="0"/>
        <v>25</v>
      </c>
      <c r="BJ30" s="10">
        <f t="shared" si="0"/>
        <v>0</v>
      </c>
      <c r="BK30" s="10">
        <f t="shared" si="0"/>
        <v>6</v>
      </c>
      <c r="BL30" s="10">
        <f t="shared" si="0"/>
        <v>34</v>
      </c>
      <c r="BM30" s="10">
        <f t="shared" si="0"/>
        <v>199</v>
      </c>
    </row>
    <row r="31" spans="1:65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s="5" customFormat="1" ht="11.25" customHeight="1">
      <c r="A32" s="31"/>
      <c r="B32" s="9" t="s">
        <v>63</v>
      </c>
      <c r="C32" s="32" t="s">
        <v>20</v>
      </c>
      <c r="D32" s="548" t="s">
        <v>64</v>
      </c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335" t="s">
        <v>153</v>
      </c>
      <c r="S32" s="32" t="s">
        <v>20</v>
      </c>
      <c r="T32" s="548" t="s">
        <v>151</v>
      </c>
      <c r="U32" s="548"/>
      <c r="V32" s="548"/>
      <c r="W32" s="548"/>
      <c r="X32" s="548"/>
      <c r="Y32" s="548"/>
      <c r="Z32" s="548"/>
      <c r="AA32" s="548"/>
      <c r="AB32" s="548"/>
      <c r="AC32" s="548"/>
      <c r="AD32" s="548"/>
      <c r="AE32" s="548"/>
      <c r="AF32" s="333" t="s">
        <v>47</v>
      </c>
      <c r="AG32" s="32" t="s">
        <v>20</v>
      </c>
      <c r="AH32" s="545" t="s">
        <v>21</v>
      </c>
      <c r="AI32" s="545"/>
      <c r="AJ32" s="545"/>
      <c r="AK32" s="545"/>
      <c r="AL32" s="545"/>
      <c r="AM32" s="545"/>
      <c r="AN32" s="545"/>
      <c r="AO32" s="545"/>
      <c r="AP32" s="545"/>
      <c r="AQ32" s="433" t="s">
        <v>48</v>
      </c>
      <c r="AR32" s="24" t="s">
        <v>489</v>
      </c>
      <c r="AS32" s="544" t="s">
        <v>490</v>
      </c>
      <c r="AT32" s="544"/>
      <c r="AU32" s="544"/>
      <c r="AV32" s="544"/>
      <c r="AW32" s="544"/>
      <c r="AX32" s="544"/>
      <c r="AY32" s="544"/>
      <c r="AZ32" s="544"/>
      <c r="BA32" s="544"/>
      <c r="BB32" s="544"/>
      <c r="BC32" s="544"/>
      <c r="BD32" s="544"/>
      <c r="BE32" s="547"/>
      <c r="BF32" s="334" t="s">
        <v>27</v>
      </c>
      <c r="BG32" s="32" t="s">
        <v>20</v>
      </c>
      <c r="BH32" s="544" t="s">
        <v>22</v>
      </c>
      <c r="BI32" s="544"/>
      <c r="BJ32" s="544"/>
      <c r="BK32" s="544"/>
      <c r="BL32" s="31"/>
      <c r="BM32" s="31"/>
    </row>
    <row r="33" spans="1:65" s="5" customFormat="1" ht="12.75">
      <c r="A33" s="31"/>
      <c r="B33" s="31"/>
      <c r="C33" s="31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3"/>
      <c r="V33" s="32"/>
      <c r="W33" s="33"/>
      <c r="X33" s="33"/>
      <c r="Y33" s="32"/>
      <c r="Z33" s="33"/>
      <c r="AA33" s="33"/>
      <c r="AB33" s="32"/>
      <c r="AC33" s="33"/>
      <c r="AD33" s="33"/>
      <c r="AE33" s="32"/>
      <c r="AF33" s="33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31"/>
      <c r="BJ33" s="31"/>
      <c r="BK33" s="31"/>
      <c r="BL33" s="31"/>
      <c r="BM33" s="31"/>
    </row>
    <row r="34" spans="1:65" s="5" customFormat="1" ht="11.25" customHeight="1">
      <c r="A34" s="31"/>
      <c r="B34" s="9" t="s">
        <v>31</v>
      </c>
      <c r="C34" s="32" t="s">
        <v>20</v>
      </c>
      <c r="D34" s="548" t="s">
        <v>65</v>
      </c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335" t="s">
        <v>154</v>
      </c>
      <c r="S34" s="32" t="s">
        <v>20</v>
      </c>
      <c r="T34" s="548" t="s">
        <v>152</v>
      </c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333" t="s">
        <v>48</v>
      </c>
      <c r="AG34" s="32" t="s">
        <v>20</v>
      </c>
      <c r="AH34" s="544" t="s">
        <v>491</v>
      </c>
      <c r="AI34" s="544"/>
      <c r="AJ34" s="544"/>
      <c r="AK34" s="544"/>
      <c r="AL34" s="544"/>
      <c r="AM34" s="544"/>
      <c r="AN34" s="544"/>
      <c r="AO34" s="544"/>
      <c r="AP34" s="544"/>
      <c r="AQ34" s="13" t="s">
        <v>30</v>
      </c>
      <c r="AR34" s="32" t="s">
        <v>20</v>
      </c>
      <c r="AS34" s="544" t="s">
        <v>456</v>
      </c>
      <c r="AT34" s="544"/>
      <c r="AU34" s="544"/>
      <c r="AV34" s="544"/>
      <c r="AW34" s="544"/>
      <c r="AX34" s="544"/>
      <c r="AY34" s="544"/>
      <c r="AZ34" s="544"/>
      <c r="BA34" s="544"/>
      <c r="BB34" s="544"/>
      <c r="BC34" s="544"/>
      <c r="BD34" s="544"/>
      <c r="BE34" s="544"/>
      <c r="BF34" s="9" t="s">
        <v>20</v>
      </c>
      <c r="BG34" s="32" t="s">
        <v>20</v>
      </c>
      <c r="BH34" s="550" t="s">
        <v>42</v>
      </c>
      <c r="BI34" s="550"/>
      <c r="BJ34" s="550"/>
      <c r="BK34" s="550"/>
      <c r="BL34" s="550"/>
      <c r="BM34" s="550"/>
    </row>
    <row r="35" spans="1:6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544"/>
      <c r="AI35" s="544"/>
      <c r="AJ35" s="544"/>
      <c r="AK35" s="544"/>
      <c r="AL35" s="544"/>
      <c r="AM35" s="544"/>
      <c r="AN35" s="544"/>
      <c r="AO35" s="544"/>
      <c r="AP35" s="544"/>
      <c r="AQ35" s="24"/>
      <c r="AR35" s="2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24"/>
      <c r="BG35" s="24"/>
      <c r="BH35" s="24"/>
      <c r="BI35" s="24"/>
      <c r="BJ35" s="31"/>
      <c r="BK35" s="31"/>
      <c r="BL35" s="31"/>
      <c r="BM35" s="31"/>
    </row>
    <row r="36" spans="1:21" ht="12.75" hidden="1">
      <c r="A36" s="12"/>
      <c r="B36" s="14" t="str">
        <f>B32</f>
        <v>о</v>
      </c>
      <c r="D36" s="11" t="s">
        <v>85</v>
      </c>
      <c r="L36" s="549" t="s">
        <v>117</v>
      </c>
      <c r="M36" s="549"/>
      <c r="N36" s="549"/>
      <c r="O36" s="549"/>
      <c r="P36" s="549"/>
      <c r="Q36" s="549"/>
      <c r="R36" s="549"/>
      <c r="S36" s="549"/>
      <c r="T36" s="549"/>
      <c r="U36" s="549"/>
    </row>
    <row r="37" spans="1:63" ht="12.75" hidden="1">
      <c r="A37" s="12"/>
      <c r="B37" s="14" t="str">
        <f>R32</f>
        <v>оа</v>
      </c>
      <c r="D37" s="11" t="s">
        <v>86</v>
      </c>
      <c r="L37" s="549" t="s">
        <v>118</v>
      </c>
      <c r="M37" s="549"/>
      <c r="N37" s="549"/>
      <c r="O37" s="549"/>
      <c r="P37" s="549"/>
      <c r="Q37" s="549"/>
      <c r="R37" s="549"/>
      <c r="S37" s="549"/>
      <c r="T37" s="549"/>
      <c r="U37" s="549"/>
      <c r="BA37" s="5"/>
      <c r="BJ37" s="1"/>
      <c r="BK37" s="1"/>
    </row>
    <row r="38" spans="1:63" ht="12.75" hidden="1">
      <c r="A38" s="12"/>
      <c r="B38" s="13" t="str">
        <f>B34</f>
        <v>в</v>
      </c>
      <c r="D38" s="11" t="s">
        <v>87</v>
      </c>
      <c r="L38" s="549" t="s">
        <v>121</v>
      </c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12.75" hidden="1">
      <c r="A39" s="12"/>
      <c r="B39" s="13" t="str">
        <f>R34</f>
        <v>ва</v>
      </c>
      <c r="D39" s="11"/>
      <c r="L39" s="549" t="s">
        <v>122</v>
      </c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53" ht="12.75" hidden="1">
      <c r="A40" s="12"/>
      <c r="B40" s="15" t="str">
        <f>AF32</f>
        <v>у</v>
      </c>
      <c r="D40" s="11" t="s">
        <v>88</v>
      </c>
      <c r="AQ40" s="5"/>
      <c r="BA40" s="5"/>
    </row>
    <row r="41" spans="1:2" ht="12.75" hidden="1">
      <c r="A41" s="12"/>
      <c r="B41" s="15" t="str">
        <f>AF34</f>
        <v>п</v>
      </c>
    </row>
    <row r="42" spans="1:2" ht="12.75" hidden="1">
      <c r="A42" s="12"/>
      <c r="B42" s="16">
        <f>AZ34</f>
        <v>0</v>
      </c>
    </row>
    <row r="43" spans="1:2" ht="12.75" hidden="1">
      <c r="A43" s="12"/>
      <c r="B43" s="17" t="str">
        <f>AQ32</f>
        <v>п</v>
      </c>
    </row>
    <row r="44" spans="1:2" ht="12.75" hidden="1">
      <c r="A44" s="12"/>
      <c r="B44" s="17">
        <f>AZ32</f>
        <v>0</v>
      </c>
    </row>
    <row r="45" spans="1:2" ht="12.75" hidden="1">
      <c r="A45" s="12"/>
      <c r="B45" s="17" t="str">
        <f>AQ34</f>
        <v>А</v>
      </c>
    </row>
    <row r="46" spans="1:2" ht="48" hidden="1">
      <c r="A46" s="12"/>
      <c r="B46" s="18" t="str">
        <f>BH34</f>
        <v>неделя отсутствует</v>
      </c>
    </row>
    <row r="47" spans="1:2" ht="12.75">
      <c r="A47" s="12"/>
      <c r="B47" s="328"/>
    </row>
    <row r="48" spans="1:65" ht="12.75" customHeight="1">
      <c r="A48" s="551" t="s">
        <v>485</v>
      </c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</row>
    <row r="49" spans="1:65" ht="12.75" customHeight="1">
      <c r="A49" s="551" t="s">
        <v>486</v>
      </c>
      <c r="B49" s="551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</row>
    <row r="50" spans="1:65" ht="12.75" customHeight="1">
      <c r="A50" s="551" t="s">
        <v>487</v>
      </c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</row>
    <row r="51" spans="1:65" ht="12.75" customHeight="1">
      <c r="A51" s="551" t="s">
        <v>488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</row>
  </sheetData>
  <sheetProtection selectLockedCells="1" selectUnlockedCells="1"/>
  <mergeCells count="96">
    <mergeCell ref="AS34:BE35"/>
    <mergeCell ref="BH34:BM34"/>
    <mergeCell ref="A48:BM48"/>
    <mergeCell ref="A49:BM49"/>
    <mergeCell ref="A50:BM50"/>
    <mergeCell ref="A51:BM51"/>
    <mergeCell ref="L39:AD39"/>
    <mergeCell ref="D32:Q32"/>
    <mergeCell ref="D34:Q34"/>
    <mergeCell ref="T32:AE32"/>
    <mergeCell ref="L37:U37"/>
    <mergeCell ref="L36:U36"/>
    <mergeCell ref="L38:AD38"/>
    <mergeCell ref="T34:AE34"/>
    <mergeCell ref="AH30:AP30"/>
    <mergeCell ref="AH34:AP35"/>
    <mergeCell ref="BJ21:BJ24"/>
    <mergeCell ref="AH32:AP32"/>
    <mergeCell ref="BM21:BM24"/>
    <mergeCell ref="AY30:BA30"/>
    <mergeCell ref="AO20:AR21"/>
    <mergeCell ref="AJ20:AJ21"/>
    <mergeCell ref="AS32:BE32"/>
    <mergeCell ref="BH32:BK32"/>
    <mergeCell ref="BH21:BH24"/>
    <mergeCell ref="A4:N4"/>
    <mergeCell ref="A7:BM7"/>
    <mergeCell ref="F22:F23"/>
    <mergeCell ref="S22:S23"/>
    <mergeCell ref="S20:S21"/>
    <mergeCell ref="AG20:AI21"/>
    <mergeCell ref="J22:J23"/>
    <mergeCell ref="AT20:AV21"/>
    <mergeCell ref="BB20:BM20"/>
    <mergeCell ref="G20:I21"/>
    <mergeCell ref="W22:W23"/>
    <mergeCell ref="BK21:BK24"/>
    <mergeCell ref="A3:G3"/>
    <mergeCell ref="F20:F21"/>
    <mergeCell ref="AS20:AS21"/>
    <mergeCell ref="T17:U17"/>
    <mergeCell ref="O18:BB18"/>
    <mergeCell ref="A10:N10"/>
    <mergeCell ref="V17:Z17"/>
    <mergeCell ref="O8:BB8"/>
    <mergeCell ref="O10:BB10"/>
    <mergeCell ref="H3:N3"/>
    <mergeCell ref="BC3:BM3"/>
    <mergeCell ref="BC14:BM14"/>
    <mergeCell ref="BC4:BM4"/>
    <mergeCell ref="A14:N14"/>
    <mergeCell ref="A15:N15"/>
    <mergeCell ref="A11:N11"/>
    <mergeCell ref="A12:N12"/>
    <mergeCell ref="A9:N9"/>
    <mergeCell ref="O9:BB9"/>
    <mergeCell ref="O13:BB13"/>
    <mergeCell ref="O14:BB14"/>
    <mergeCell ref="O12:BB12"/>
    <mergeCell ref="O11:BB11"/>
    <mergeCell ref="AW22:AW23"/>
    <mergeCell ref="AJ22:AJ23"/>
    <mergeCell ref="W20:W21"/>
    <mergeCell ref="AS22:AS23"/>
    <mergeCell ref="AK20:AN21"/>
    <mergeCell ref="AF20:AF21"/>
    <mergeCell ref="A2:N2"/>
    <mergeCell ref="AA20:AA21"/>
    <mergeCell ref="X20:Z21"/>
    <mergeCell ref="A20:A24"/>
    <mergeCell ref="A16:N16"/>
    <mergeCell ref="BL21:BL24"/>
    <mergeCell ref="BC10:BM13"/>
    <mergeCell ref="BE21:BG23"/>
    <mergeCell ref="BC2:BM2"/>
    <mergeCell ref="BC6:BM6"/>
    <mergeCell ref="O1:BB1"/>
    <mergeCell ref="O2:BB2"/>
    <mergeCell ref="O3:BB3"/>
    <mergeCell ref="AW20:AW21"/>
    <mergeCell ref="AX20:BA21"/>
    <mergeCell ref="O17:P17"/>
    <mergeCell ref="O16:BB16"/>
    <mergeCell ref="AB20:AE21"/>
    <mergeCell ref="O15:BB15"/>
    <mergeCell ref="BB21:BD23"/>
    <mergeCell ref="BI21:BI24"/>
    <mergeCell ref="B20:E21"/>
    <mergeCell ref="K20:N21"/>
    <mergeCell ref="Q17:S17"/>
    <mergeCell ref="A17:N17"/>
    <mergeCell ref="J20:J21"/>
    <mergeCell ref="T20:V21"/>
    <mergeCell ref="AF22:AF23"/>
    <mergeCell ref="O20:R21"/>
    <mergeCell ref="AA22:AA23"/>
  </mergeCells>
  <conditionalFormatting sqref="A36:A37">
    <cfRule type="cellIs" priority="1" dxfId="6" operator="equal" stopIfTrue="1">
      <formula>#REF!</formula>
    </cfRule>
  </conditionalFormatting>
  <conditionalFormatting sqref="A38:A39">
    <cfRule type="expression" priority="2" dxfId="89" stopIfTrue="1">
      <formula>$R$32</formula>
    </cfRule>
  </conditionalFormatting>
  <conditionalFormatting sqref="B36">
    <cfRule type="cellIs" priority="3" dxfId="6" operator="equal" stopIfTrue="1">
      <formula>$B$32</formula>
    </cfRule>
  </conditionalFormatting>
  <conditionalFormatting sqref="B37">
    <cfRule type="cellIs" priority="4" dxfId="5" operator="equal" stopIfTrue="1">
      <formula>$R$32</formula>
    </cfRule>
  </conditionalFormatting>
  <conditionalFormatting sqref="B38">
    <cfRule type="cellIs" priority="5" dxfId="90" operator="equal" stopIfTrue="1">
      <formula>$B$34</formula>
    </cfRule>
  </conditionalFormatting>
  <conditionalFormatting sqref="B39">
    <cfRule type="cellIs" priority="6" dxfId="89" operator="equal" stopIfTrue="1">
      <formula>$R$34</formula>
    </cfRule>
  </conditionalFormatting>
  <conditionalFormatting sqref="B40">
    <cfRule type="cellIs" priority="7" dxfId="6" operator="equal" stopIfTrue="1">
      <formula>$AF$32</formula>
    </cfRule>
  </conditionalFormatting>
  <conditionalFormatting sqref="B41">
    <cfRule type="cellIs" priority="8" dxfId="4" operator="equal" stopIfTrue="1">
      <formula>$AF$34</formula>
    </cfRule>
  </conditionalFormatting>
  <conditionalFormatting sqref="B42">
    <cfRule type="cellIs" priority="9" dxfId="0" operator="equal" stopIfTrue="1">
      <formula>$AZ$34</formula>
    </cfRule>
  </conditionalFormatting>
  <conditionalFormatting sqref="B43">
    <cfRule type="cellIs" priority="10" dxfId="5" operator="equal" stopIfTrue="1">
      <formula>$AQ$32</formula>
    </cfRule>
  </conditionalFormatting>
  <conditionalFormatting sqref="B44">
    <cfRule type="cellIs" priority="11" dxfId="5" operator="equal" stopIfTrue="1">
      <formula>$AZ$32</formula>
    </cfRule>
  </conditionalFormatting>
  <conditionalFormatting sqref="B45">
    <cfRule type="cellIs" priority="12" dxfId="5" operator="equal" stopIfTrue="1">
      <formula>$AQ$34</formula>
    </cfRule>
  </conditionalFormatting>
  <conditionalFormatting sqref="B46:B47">
    <cfRule type="cellIs" priority="13" dxfId="6" operator="equal" stopIfTrue="1">
      <formula>$BH$34</formula>
    </cfRule>
  </conditionalFormatting>
  <conditionalFormatting sqref="AP25:BA26 AI25:AL27 AI29:AL29 AM25:AO29 B25:J27 B29:J29 AS29:BA29 AP28:AR29 K25:Q29 S25:AH29 R26:R29">
    <cfRule type="expression" priority="14" dxfId="7" stopIfTrue="1">
      <formula>OR(B25=$R$32,B25=$R$34,B25=$AQ$32,B25=$AZ$32,B25=$AQ$34)</formula>
    </cfRule>
    <cfRule type="expression" priority="15" dxfId="4" stopIfTrue="1">
      <formula>OR(B25=$AF$32,B25=$AF$34)</formula>
    </cfRule>
    <cfRule type="cellIs" priority="16" dxfId="0" operator="equal" stopIfTrue="1">
      <formula>$AZ$34</formula>
    </cfRule>
  </conditionalFormatting>
  <dataValidations count="4">
    <dataValidation type="list" allowBlank="1" showInputMessage="1" showErrorMessage="1" prompt="выберите из списка" sqref="O14:BB14">
      <formula1>$L$36:$L$37</formula1>
    </dataValidation>
    <dataValidation type="list" allowBlank="1" showInputMessage="1" showErrorMessage="1" prompt="выберите из списка" sqref="AF30 B29:J29 B25:J27 AP25:BA26 AS29:BA29 AP28:AR29 K25:Q29 S25:AO29 R26:R29">
      <formula1>$B$36:$B$46</formula1>
    </dataValidation>
    <dataValidation type="list" allowBlank="1" showInputMessage="1" showErrorMessage="1" prompt="выберите из списка" sqref="O16:BB16">
      <formula1>$D$36:$D$40</formula1>
    </dataValidation>
    <dataValidation type="list" allowBlank="1" showInputMessage="1" showErrorMessage="1" prompt="выберите из списка" sqref="O15:BB15">
      <formula1>$L$38:$L$39</formula1>
    </dataValidation>
  </dataValidations>
  <printOptions horizontalCentered="1"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8" scale="91" r:id="rId2"/>
  <headerFooter>
    <oddFooter>&amp;LУП 23.02.01 2020-21&amp;C&amp;A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8"/>
  <sheetViews>
    <sheetView zoomScalePageLayoutView="0" workbookViewId="0" topLeftCell="A1">
      <selection activeCell="C9" sqref="C9"/>
    </sheetView>
  </sheetViews>
  <sheetFormatPr defaultColWidth="9.33203125" defaultRowHeight="12.75"/>
  <cols>
    <col min="3" max="3" width="166" style="0" customWidth="1"/>
  </cols>
  <sheetData>
    <row r="1" ht="12.75">
      <c r="A1" t="s">
        <v>481</v>
      </c>
    </row>
    <row r="2" spans="1:3" ht="82.5" customHeight="1">
      <c r="A2" s="813" t="s">
        <v>475</v>
      </c>
      <c r="B2" s="814"/>
      <c r="C2" s="814"/>
    </row>
    <row r="3" spans="1:3" ht="84" customHeight="1">
      <c r="A3" s="815" t="s">
        <v>476</v>
      </c>
      <c r="B3" s="815"/>
      <c r="C3" s="815"/>
    </row>
    <row r="4" spans="1:3" ht="93" customHeight="1">
      <c r="A4" s="814" t="s">
        <v>467</v>
      </c>
      <c r="B4" s="814"/>
      <c r="C4" s="814"/>
    </row>
    <row r="5" spans="1:3" ht="30" customHeight="1">
      <c r="A5" s="812" t="s">
        <v>477</v>
      </c>
      <c r="B5" s="812"/>
      <c r="C5" s="812"/>
    </row>
    <row r="6" spans="1:3" ht="28.5" customHeight="1">
      <c r="A6" s="812" t="s">
        <v>480</v>
      </c>
      <c r="B6" s="812"/>
      <c r="C6" s="812"/>
    </row>
    <row r="7" spans="1:3" ht="39.75" customHeight="1">
      <c r="A7" s="812" t="s">
        <v>548</v>
      </c>
      <c r="B7" s="812"/>
      <c r="C7" s="812"/>
    </row>
    <row r="8" spans="1:3" ht="12.75">
      <c r="A8" s="812" t="s">
        <v>482</v>
      </c>
      <c r="B8" s="812"/>
      <c r="C8" s="812"/>
    </row>
  </sheetData>
  <sheetProtection password="CF88" sheet="1"/>
  <mergeCells count="7">
    <mergeCell ref="A8:C8"/>
    <mergeCell ref="A2:C2"/>
    <mergeCell ref="A3:C3"/>
    <mergeCell ref="A4:C4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N144"/>
  <sheetViews>
    <sheetView showZeros="0" tabSelected="1" zoomScale="70" zoomScaleNormal="70" zoomScaleSheetLayoutView="40" zoomScalePageLayoutView="0" workbookViewId="0" topLeftCell="A3">
      <pane xSplit="17" ySplit="3" topLeftCell="BR24" activePane="bottomRight" state="frozen"/>
      <selection pane="topLeft" activeCell="A3" sqref="A3"/>
      <selection pane="topRight" activeCell="P3" sqref="P3"/>
      <selection pane="bottomLeft" activeCell="A6" sqref="A6"/>
      <selection pane="bottomRight" activeCell="CU28" sqref="CU28"/>
    </sheetView>
  </sheetViews>
  <sheetFormatPr defaultColWidth="9.33203125" defaultRowHeight="12.75"/>
  <cols>
    <col min="1" max="1" width="16" style="35" customWidth="1"/>
    <col min="2" max="2" width="42.33203125" style="35" customWidth="1"/>
    <col min="3" max="3" width="15.66015625" style="35" customWidth="1"/>
    <col min="4" max="4" width="8" style="70" customWidth="1"/>
    <col min="5" max="5" width="7.16015625" style="70" customWidth="1"/>
    <col min="6" max="8" width="7.66015625" style="70" customWidth="1"/>
    <col min="9" max="9" width="6.66015625" style="70" customWidth="1"/>
    <col min="10" max="11" width="9.83203125" style="457" hidden="1" customWidth="1"/>
    <col min="12" max="12" width="8.33203125" style="71" customWidth="1"/>
    <col min="13" max="13" width="7.5" style="71" customWidth="1"/>
    <col min="14" max="15" width="8.33203125" style="35" customWidth="1"/>
    <col min="16" max="16" width="7.83203125" style="35" customWidth="1"/>
    <col min="17" max="17" width="7.16015625" style="35" customWidth="1"/>
    <col min="18" max="18" width="7.66015625" style="35" customWidth="1"/>
    <col min="19" max="19" width="7.66015625" style="35" hidden="1" customWidth="1"/>
    <col min="20" max="20" width="7.66015625" style="35" customWidth="1"/>
    <col min="21" max="21" width="8.66015625" style="35" customWidth="1"/>
    <col min="22" max="23" width="6.83203125" style="35" customWidth="1"/>
    <col min="24" max="24" width="7.66015625" style="35" customWidth="1"/>
    <col min="25" max="25" width="6.83203125" style="35" customWidth="1"/>
    <col min="26" max="26" width="6.83203125" style="35" hidden="1" customWidth="1"/>
    <col min="27" max="27" width="6.83203125" style="35" customWidth="1"/>
    <col min="28" max="28" width="7.83203125" style="35" customWidth="1"/>
    <col min="29" max="32" width="6.83203125" style="35" customWidth="1"/>
    <col min="33" max="33" width="6.83203125" style="35" hidden="1" customWidth="1"/>
    <col min="34" max="36" width="6.83203125" style="35" customWidth="1"/>
    <col min="37" max="37" width="7.33203125" style="35" customWidth="1"/>
    <col min="38" max="39" width="6.83203125" style="35" customWidth="1"/>
    <col min="40" max="40" width="6.83203125" style="35" hidden="1" customWidth="1"/>
    <col min="41" max="41" width="6.83203125" style="35" customWidth="1"/>
    <col min="42" max="42" width="7.16015625" style="35" customWidth="1"/>
    <col min="43" max="46" width="6.83203125" style="35" customWidth="1"/>
    <col min="47" max="47" width="6.83203125" style="35" hidden="1" customWidth="1"/>
    <col min="48" max="48" width="6.83203125" style="35" customWidth="1"/>
    <col min="49" max="49" width="6.66015625" style="35" customWidth="1"/>
    <col min="50" max="53" width="6.83203125" style="35" customWidth="1"/>
    <col min="54" max="54" width="6.83203125" style="35" hidden="1" customWidth="1"/>
    <col min="55" max="60" width="6.83203125" style="35" customWidth="1"/>
    <col min="61" max="61" width="6.83203125" style="35" hidden="1" customWidth="1"/>
    <col min="62" max="67" width="6.83203125" style="35" customWidth="1"/>
    <col min="68" max="68" width="6.83203125" style="35" hidden="1" customWidth="1"/>
    <col min="69" max="74" width="6.83203125" style="35" customWidth="1"/>
    <col min="75" max="75" width="6.83203125" style="35" hidden="1" customWidth="1"/>
    <col min="76" max="77" width="6.83203125" style="35" customWidth="1"/>
    <col min="78" max="93" width="6.83203125" style="35" hidden="1" customWidth="1"/>
    <col min="94" max="94" width="13" style="39" customWidth="1"/>
    <col min="95" max="95" width="28.83203125" style="39" customWidth="1"/>
    <col min="96" max="96" width="12.33203125" style="426" customWidth="1"/>
    <col min="97" max="97" width="12.33203125" style="36" hidden="1" customWidth="1"/>
    <col min="98" max="16384" width="9.33203125" style="36" customWidth="1"/>
  </cols>
  <sheetData>
    <row r="1" spans="1:95" ht="8.25" customHeight="1" hidden="1">
      <c r="A1" s="615" t="s">
        <v>35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  <c r="AU1" s="615"/>
      <c r="AV1" s="615"/>
      <c r="AW1" s="615"/>
      <c r="AX1" s="615"/>
      <c r="AY1" s="615"/>
      <c r="AZ1" s="615"/>
      <c r="BA1" s="615"/>
      <c r="BB1" s="615"/>
      <c r="BC1" s="615"/>
      <c r="BD1" s="615"/>
      <c r="BE1" s="615"/>
      <c r="BF1" s="615"/>
      <c r="BG1" s="615"/>
      <c r="BH1" s="615"/>
      <c r="BI1" s="615"/>
      <c r="BJ1" s="615"/>
      <c r="BK1" s="615"/>
      <c r="BL1" s="615"/>
      <c r="BM1" s="615"/>
      <c r="BN1" s="615"/>
      <c r="BO1" s="615"/>
      <c r="BP1" s="615"/>
      <c r="BQ1" s="615"/>
      <c r="BR1" s="615"/>
      <c r="BS1" s="615"/>
      <c r="BT1" s="615"/>
      <c r="BU1" s="615"/>
      <c r="BV1" s="615"/>
      <c r="BW1" s="615"/>
      <c r="BX1" s="615"/>
      <c r="BY1" s="615"/>
      <c r="BZ1" s="615"/>
      <c r="CA1" s="615"/>
      <c r="CB1" s="615"/>
      <c r="CC1" s="615"/>
      <c r="CD1" s="615"/>
      <c r="CE1" s="615"/>
      <c r="CF1" s="615"/>
      <c r="CG1" s="615"/>
      <c r="CH1" s="615"/>
      <c r="CI1" s="615"/>
      <c r="CJ1" s="615"/>
      <c r="CK1" s="615"/>
      <c r="CL1" s="615"/>
      <c r="CM1" s="615"/>
      <c r="CN1" s="615"/>
      <c r="CO1" s="615"/>
      <c r="CP1" s="616"/>
      <c r="CQ1" s="615"/>
    </row>
    <row r="2" spans="2:20" ht="12.75" customHeight="1" hidden="1">
      <c r="B2" s="37"/>
      <c r="C2" s="37"/>
      <c r="D2" s="37"/>
      <c r="E2" s="37"/>
      <c r="F2" s="37"/>
      <c r="G2" s="37"/>
      <c r="H2" s="37"/>
      <c r="I2" s="37"/>
      <c r="J2" s="443"/>
      <c r="K2" s="443"/>
      <c r="L2" s="38"/>
      <c r="M2" s="38"/>
      <c r="N2" s="37"/>
      <c r="O2" s="37"/>
      <c r="P2" s="37"/>
      <c r="Q2" s="37"/>
      <c r="R2" s="37"/>
      <c r="S2" s="37"/>
      <c r="T2" s="37"/>
    </row>
    <row r="3" spans="1:96" s="43" customFormat="1" ht="12.75" customHeight="1">
      <c r="A3" s="570" t="s">
        <v>34</v>
      </c>
      <c r="B3" s="570" t="s">
        <v>528</v>
      </c>
      <c r="C3" s="570" t="s">
        <v>61</v>
      </c>
      <c r="D3" s="617" t="s">
        <v>455</v>
      </c>
      <c r="E3" s="618"/>
      <c r="F3" s="618"/>
      <c r="G3" s="618"/>
      <c r="H3" s="618"/>
      <c r="I3" s="618"/>
      <c r="J3" s="444"/>
      <c r="K3" s="444"/>
      <c r="L3" s="622" t="s">
        <v>155</v>
      </c>
      <c r="M3" s="623"/>
      <c r="N3" s="608" t="s">
        <v>520</v>
      </c>
      <c r="O3" s="608"/>
      <c r="P3" s="608"/>
      <c r="Q3" s="608"/>
      <c r="R3" s="608"/>
      <c r="S3" s="608"/>
      <c r="T3" s="608"/>
      <c r="U3" s="608"/>
      <c r="V3" s="42"/>
      <c r="W3" s="607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  <c r="AR3" s="608"/>
      <c r="AS3" s="608"/>
      <c r="AT3" s="608"/>
      <c r="AU3" s="608"/>
      <c r="AV3" s="608"/>
      <c r="AW3" s="608"/>
      <c r="AX3" s="608"/>
      <c r="AY3" s="608"/>
      <c r="AZ3" s="608"/>
      <c r="BA3" s="608"/>
      <c r="BB3" s="608"/>
      <c r="BC3" s="608"/>
      <c r="BD3" s="608"/>
      <c r="BE3" s="608"/>
      <c r="BF3" s="608"/>
      <c r="BG3" s="608"/>
      <c r="BH3" s="608"/>
      <c r="BI3" s="608"/>
      <c r="BJ3" s="608"/>
      <c r="BK3" s="608"/>
      <c r="BL3" s="608"/>
      <c r="BM3" s="608"/>
      <c r="BN3" s="608"/>
      <c r="BO3" s="608"/>
      <c r="BP3" s="608"/>
      <c r="BQ3" s="608"/>
      <c r="BR3" s="608"/>
      <c r="BS3" s="608"/>
      <c r="BT3" s="608"/>
      <c r="BU3" s="608"/>
      <c r="BV3" s="608"/>
      <c r="BW3" s="608"/>
      <c r="BX3" s="608"/>
      <c r="BY3" s="608"/>
      <c r="BZ3" s="406"/>
      <c r="CA3" s="406"/>
      <c r="CB3" s="406"/>
      <c r="CC3" s="406"/>
      <c r="CD3" s="406"/>
      <c r="CE3" s="406"/>
      <c r="CF3" s="406"/>
      <c r="CG3" s="406"/>
      <c r="CH3" s="406"/>
      <c r="CI3" s="406"/>
      <c r="CJ3" s="406"/>
      <c r="CK3" s="406"/>
      <c r="CL3" s="406"/>
      <c r="CM3" s="406"/>
      <c r="CN3" s="406"/>
      <c r="CO3" s="257"/>
      <c r="CP3" s="604" t="s">
        <v>529</v>
      </c>
      <c r="CQ3" s="604" t="s">
        <v>530</v>
      </c>
      <c r="CR3" s="427"/>
    </row>
    <row r="4" spans="1:96" s="43" customFormat="1" ht="12.75" customHeight="1">
      <c r="A4" s="571"/>
      <c r="B4" s="571"/>
      <c r="C4" s="571"/>
      <c r="D4" s="619"/>
      <c r="E4" s="620"/>
      <c r="F4" s="620"/>
      <c r="G4" s="620"/>
      <c r="H4" s="620"/>
      <c r="I4" s="620"/>
      <c r="J4" s="445"/>
      <c r="K4" s="445"/>
      <c r="L4" s="624"/>
      <c r="M4" s="625"/>
      <c r="N4" s="572" t="s">
        <v>522</v>
      </c>
      <c r="O4" s="589" t="s">
        <v>2</v>
      </c>
      <c r="P4" s="589"/>
      <c r="Q4" s="589"/>
      <c r="R4" s="589"/>
      <c r="S4" s="589"/>
      <c r="T4" s="589"/>
      <c r="U4" s="590"/>
      <c r="V4" s="607" t="s">
        <v>66</v>
      </c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9"/>
      <c r="AJ4" s="607" t="s">
        <v>67</v>
      </c>
      <c r="AK4" s="608"/>
      <c r="AL4" s="608"/>
      <c r="AM4" s="608"/>
      <c r="AN4" s="608"/>
      <c r="AO4" s="608"/>
      <c r="AP4" s="608"/>
      <c r="AQ4" s="608"/>
      <c r="AR4" s="608"/>
      <c r="AS4" s="608"/>
      <c r="AT4" s="608"/>
      <c r="AU4" s="608"/>
      <c r="AV4" s="608"/>
      <c r="AW4" s="609"/>
      <c r="AX4" s="608" t="s">
        <v>68</v>
      </c>
      <c r="AY4" s="608"/>
      <c r="AZ4" s="608"/>
      <c r="BA4" s="608"/>
      <c r="BB4" s="608"/>
      <c r="BC4" s="608"/>
      <c r="BD4" s="608"/>
      <c r="BE4" s="608"/>
      <c r="BF4" s="608"/>
      <c r="BG4" s="608"/>
      <c r="BH4" s="608"/>
      <c r="BI4" s="608"/>
      <c r="BJ4" s="608"/>
      <c r="BK4" s="608"/>
      <c r="BL4" s="406"/>
      <c r="BM4" s="406"/>
      <c r="BN4" s="406"/>
      <c r="BO4" s="406"/>
      <c r="BP4" s="406"/>
      <c r="BQ4" s="406"/>
      <c r="BR4" s="608" t="s">
        <v>69</v>
      </c>
      <c r="BS4" s="608"/>
      <c r="BT4" s="608"/>
      <c r="BU4" s="608"/>
      <c r="BV4" s="406"/>
      <c r="BW4" s="406"/>
      <c r="BX4" s="406"/>
      <c r="BY4" s="257"/>
      <c r="BZ4" s="608"/>
      <c r="CA4" s="608"/>
      <c r="CB4" s="608"/>
      <c r="CC4" s="608"/>
      <c r="CD4" s="608"/>
      <c r="CE4" s="608"/>
      <c r="CF4" s="608"/>
      <c r="CG4" s="608"/>
      <c r="CH4" s="608"/>
      <c r="CI4" s="608"/>
      <c r="CJ4" s="608"/>
      <c r="CK4" s="608"/>
      <c r="CL4" s="608"/>
      <c r="CM4" s="608"/>
      <c r="CN4" s="608"/>
      <c r="CO4" s="609"/>
      <c r="CP4" s="605"/>
      <c r="CQ4" s="605"/>
      <c r="CR4" s="427"/>
    </row>
    <row r="5" spans="1:96" s="43" customFormat="1" ht="12.75" customHeight="1">
      <c r="A5" s="571"/>
      <c r="B5" s="571"/>
      <c r="C5" s="571"/>
      <c r="D5" s="567" t="s">
        <v>514</v>
      </c>
      <c r="E5" s="567" t="s">
        <v>515</v>
      </c>
      <c r="F5" s="253"/>
      <c r="G5" s="253"/>
      <c r="H5" s="567" t="s">
        <v>518</v>
      </c>
      <c r="I5" s="579" t="s">
        <v>519</v>
      </c>
      <c r="J5" s="446"/>
      <c r="K5" s="446"/>
      <c r="L5" s="624"/>
      <c r="M5" s="625"/>
      <c r="N5" s="573"/>
      <c r="O5" s="572" t="s">
        <v>72</v>
      </c>
      <c r="P5" s="589" t="s">
        <v>521</v>
      </c>
      <c r="Q5" s="589"/>
      <c r="R5" s="589"/>
      <c r="S5" s="405"/>
      <c r="T5" s="411"/>
      <c r="U5" s="601" t="s">
        <v>527</v>
      </c>
      <c r="V5" s="599" t="s">
        <v>26</v>
      </c>
      <c r="W5" s="553"/>
      <c r="X5" s="45"/>
      <c r="Y5" s="558">
        <f>'Титульный лист (очная)'!BB25</f>
        <v>16</v>
      </c>
      <c r="Z5" s="558"/>
      <c r="AA5" s="558"/>
      <c r="AB5" s="276">
        <f>'Титульный лист (очная)'!BE25</f>
        <v>1</v>
      </c>
      <c r="AC5" s="553" t="s">
        <v>29</v>
      </c>
      <c r="AD5" s="553"/>
      <c r="AE5" s="40"/>
      <c r="AF5" s="40"/>
      <c r="AG5" s="40"/>
      <c r="AH5" s="45">
        <f>'Титульный лист (очная)'!BC25</f>
        <v>23</v>
      </c>
      <c r="AI5" s="45">
        <f>'Титульный лист (очная)'!BF25</f>
        <v>1</v>
      </c>
      <c r="AJ5" s="599" t="s">
        <v>28</v>
      </c>
      <c r="AK5" s="553"/>
      <c r="AL5" s="40"/>
      <c r="AM5" s="40"/>
      <c r="AN5" s="40"/>
      <c r="AO5" s="45">
        <f>'Титульный лист (очная)'!BB26</f>
        <v>16</v>
      </c>
      <c r="AP5" s="276">
        <f>'Титульный лист (очная)'!BE26</f>
        <v>1</v>
      </c>
      <c r="AQ5" s="553" t="s">
        <v>38</v>
      </c>
      <c r="AR5" s="553"/>
      <c r="AS5" s="40"/>
      <c r="AT5" s="40"/>
      <c r="AU5" s="40"/>
      <c r="AV5" s="45">
        <f>'Титульный лист (очная)'!BC26</f>
        <v>19</v>
      </c>
      <c r="AW5" s="45">
        <f>'Титульный лист (очная)'!BF26</f>
        <v>1</v>
      </c>
      <c r="AX5" s="613" t="s">
        <v>39</v>
      </c>
      <c r="AY5" s="614"/>
      <c r="AZ5" s="40"/>
      <c r="BA5" s="40"/>
      <c r="BB5" s="40"/>
      <c r="BC5" s="45">
        <f>'Титульный лист (очная)'!BB27</f>
        <v>17</v>
      </c>
      <c r="BD5" s="276">
        <f>'Титульный лист (очная)'!BE27</f>
        <v>0</v>
      </c>
      <c r="BE5" s="621" t="s">
        <v>40</v>
      </c>
      <c r="BF5" s="552"/>
      <c r="BG5" s="40"/>
      <c r="BH5" s="40"/>
      <c r="BI5" s="40"/>
      <c r="BJ5" s="45">
        <f>'Титульный лист (очная)'!BC27</f>
        <v>12</v>
      </c>
      <c r="BK5" s="45">
        <f>'Титульный лист (очная)'!BF27</f>
        <v>1</v>
      </c>
      <c r="BL5" s="613" t="s">
        <v>41</v>
      </c>
      <c r="BM5" s="614"/>
      <c r="BN5" s="40"/>
      <c r="BO5" s="40"/>
      <c r="BP5" s="40"/>
      <c r="BQ5" s="45">
        <f>'Титульный лист (очная)'!BB28</f>
        <v>8</v>
      </c>
      <c r="BR5" s="276">
        <f>'Титульный лист (очная)'!BE28</f>
        <v>0</v>
      </c>
      <c r="BS5" s="610" t="s">
        <v>36</v>
      </c>
      <c r="BT5" s="552"/>
      <c r="BU5" s="40"/>
      <c r="BV5" s="40"/>
      <c r="BW5" s="40"/>
      <c r="BX5" s="45">
        <f>'Титульный лист (очная)'!BC28</f>
        <v>12</v>
      </c>
      <c r="BY5" s="276">
        <f>'Титульный лист (очная)'!BF28</f>
        <v>2</v>
      </c>
      <c r="BZ5" s="415" t="s">
        <v>37</v>
      </c>
      <c r="CA5" s="40"/>
      <c r="CB5" s="40"/>
      <c r="CC5" s="40"/>
      <c r="CD5" s="40"/>
      <c r="CE5" s="558">
        <f>'Титульный лист (очная)'!BB29</f>
        <v>0</v>
      </c>
      <c r="CF5" s="558"/>
      <c r="CG5" s="41">
        <f>'Титульный лист (очная)'!BE29</f>
        <v>0</v>
      </c>
      <c r="CH5" s="552" t="s">
        <v>71</v>
      </c>
      <c r="CI5" s="553"/>
      <c r="CJ5" s="553"/>
      <c r="CK5" s="40"/>
      <c r="CL5" s="40"/>
      <c r="CM5" s="558">
        <f>'Титульный лист (очная)'!BC29</f>
        <v>0</v>
      </c>
      <c r="CN5" s="558"/>
      <c r="CO5" s="45">
        <f>'Титульный лист (очная)'!BF29</f>
        <v>0</v>
      </c>
      <c r="CP5" s="605"/>
      <c r="CQ5" s="605"/>
      <c r="CR5" s="427"/>
    </row>
    <row r="6" spans="1:96" s="43" customFormat="1" ht="12.75" customHeight="1">
      <c r="A6" s="571"/>
      <c r="B6" s="571"/>
      <c r="C6" s="571"/>
      <c r="D6" s="568"/>
      <c r="E6" s="568"/>
      <c r="F6" s="254"/>
      <c r="G6" s="254"/>
      <c r="H6" s="568"/>
      <c r="I6" s="580"/>
      <c r="J6" s="446"/>
      <c r="K6" s="446"/>
      <c r="L6" s="624"/>
      <c r="M6" s="625"/>
      <c r="N6" s="573"/>
      <c r="O6" s="594"/>
      <c r="P6" s="572" t="s">
        <v>523</v>
      </c>
      <c r="Q6" s="572" t="s">
        <v>524</v>
      </c>
      <c r="R6" s="572" t="s">
        <v>525</v>
      </c>
      <c r="S6" s="572" t="s">
        <v>526</v>
      </c>
      <c r="T6" s="596" t="s">
        <v>513</v>
      </c>
      <c r="U6" s="601"/>
      <c r="V6" s="600" t="s">
        <v>59</v>
      </c>
      <c r="W6" s="555"/>
      <c r="X6" s="412"/>
      <c r="Y6" s="602" t="s">
        <v>50</v>
      </c>
      <c r="Z6" s="602"/>
      <c r="AA6" s="412"/>
      <c r="AB6" s="277" t="s">
        <v>156</v>
      </c>
      <c r="AC6" s="555" t="s">
        <v>59</v>
      </c>
      <c r="AD6" s="555"/>
      <c r="AE6" s="44"/>
      <c r="AF6" s="44"/>
      <c r="AG6" s="44"/>
      <c r="AH6" s="44" t="s">
        <v>50</v>
      </c>
      <c r="AI6" s="44" t="s">
        <v>156</v>
      </c>
      <c r="AJ6" s="600" t="s">
        <v>59</v>
      </c>
      <c r="AK6" s="555"/>
      <c r="AL6" s="44"/>
      <c r="AM6" s="44"/>
      <c r="AN6" s="44"/>
      <c r="AO6" s="44" t="s">
        <v>50</v>
      </c>
      <c r="AP6" s="277" t="s">
        <v>156</v>
      </c>
      <c r="AQ6" s="555" t="s">
        <v>59</v>
      </c>
      <c r="AR6" s="555"/>
      <c r="AS6" s="44"/>
      <c r="AT6" s="44"/>
      <c r="AU6" s="44"/>
      <c r="AV6" s="44" t="s">
        <v>50</v>
      </c>
      <c r="AW6" s="44" t="s">
        <v>156</v>
      </c>
      <c r="AX6" s="603" t="s">
        <v>59</v>
      </c>
      <c r="AY6" s="554"/>
      <c r="AZ6" s="44"/>
      <c r="BA6" s="44"/>
      <c r="BB6" s="44"/>
      <c r="BC6" s="44" t="s">
        <v>50</v>
      </c>
      <c r="BD6" s="277" t="s">
        <v>156</v>
      </c>
      <c r="BE6" s="611" t="s">
        <v>59</v>
      </c>
      <c r="BF6" s="612"/>
      <c r="BG6" s="44"/>
      <c r="BH6" s="44"/>
      <c r="BI6" s="44"/>
      <c r="BJ6" s="44" t="s">
        <v>50</v>
      </c>
      <c r="BK6" s="44" t="s">
        <v>156</v>
      </c>
      <c r="BL6" s="603" t="s">
        <v>59</v>
      </c>
      <c r="BM6" s="554"/>
      <c r="BN6" s="44"/>
      <c r="BO6" s="44"/>
      <c r="BP6" s="44"/>
      <c r="BQ6" s="44" t="s">
        <v>50</v>
      </c>
      <c r="BR6" s="277" t="s">
        <v>156</v>
      </c>
      <c r="BS6" s="410" t="s">
        <v>59</v>
      </c>
      <c r="BT6" s="408"/>
      <c r="BU6" s="44"/>
      <c r="BV6" s="44"/>
      <c r="BW6" s="44"/>
      <c r="BX6" s="44" t="s">
        <v>50</v>
      </c>
      <c r="BY6" s="277" t="s">
        <v>156</v>
      </c>
      <c r="BZ6" s="554" t="s">
        <v>59</v>
      </c>
      <c r="CA6" s="555"/>
      <c r="CB6" s="555"/>
      <c r="CC6" s="44"/>
      <c r="CD6" s="44"/>
      <c r="CE6" s="555" t="s">
        <v>50</v>
      </c>
      <c r="CF6" s="555"/>
      <c r="CG6" s="47" t="s">
        <v>156</v>
      </c>
      <c r="CH6" s="612" t="s">
        <v>59</v>
      </c>
      <c r="CI6" s="555"/>
      <c r="CJ6" s="555"/>
      <c r="CK6" s="44"/>
      <c r="CL6" s="44"/>
      <c r="CM6" s="555" t="s">
        <v>50</v>
      </c>
      <c r="CN6" s="555"/>
      <c r="CO6" s="44" t="s">
        <v>156</v>
      </c>
      <c r="CP6" s="605"/>
      <c r="CQ6" s="605"/>
      <c r="CR6" s="427"/>
    </row>
    <row r="7" spans="1:96" s="43" customFormat="1" ht="12.75" customHeight="1">
      <c r="A7" s="571"/>
      <c r="B7" s="571"/>
      <c r="C7" s="571"/>
      <c r="D7" s="568"/>
      <c r="E7" s="568"/>
      <c r="F7" s="254"/>
      <c r="G7" s="254"/>
      <c r="H7" s="568"/>
      <c r="I7" s="580"/>
      <c r="J7" s="446"/>
      <c r="K7" s="446"/>
      <c r="L7" s="624"/>
      <c r="M7" s="625"/>
      <c r="N7" s="573"/>
      <c r="O7" s="594"/>
      <c r="P7" s="573"/>
      <c r="Q7" s="573"/>
      <c r="R7" s="573"/>
      <c r="S7" s="573"/>
      <c r="T7" s="597"/>
      <c r="U7" s="601"/>
      <c r="V7" s="562" t="s">
        <v>102</v>
      </c>
      <c r="W7" s="557"/>
      <c r="X7" s="49"/>
      <c r="Y7" s="49"/>
      <c r="Z7" s="49"/>
      <c r="AA7" s="51">
        <f>IF((SUM(W72:AB72)+SUM(W74:AB74))=0,0,(SUM(W72:AB72)+SUM(W74:AB74))/Нормы!$G$39)</f>
        <v>0</v>
      </c>
      <c r="AB7" s="284" t="s">
        <v>103</v>
      </c>
      <c r="AC7" s="562" t="s">
        <v>102</v>
      </c>
      <c r="AD7" s="557"/>
      <c r="AE7" s="49"/>
      <c r="AF7" s="49"/>
      <c r="AG7" s="49"/>
      <c r="AH7" s="51">
        <f>IF((SUM(AD72:AI72)+SUM(AD74:AI74))=0,0,(SUM(AD72:AI72)+SUM(AD74:AI74))/Нормы!$G$39)</f>
        <v>0</v>
      </c>
      <c r="AI7" s="284" t="s">
        <v>103</v>
      </c>
      <c r="AJ7" s="562" t="s">
        <v>102</v>
      </c>
      <c r="AK7" s="557"/>
      <c r="AL7" s="49"/>
      <c r="AM7" s="49"/>
      <c r="AN7" s="49"/>
      <c r="AO7" s="51">
        <f>IF((SUM(AK72:AP72)+SUM(AK74:AP74))=0,0,(SUM(AK72:AP72)+SUM(AK74:AP74))/Нормы!$G$39)</f>
        <v>0</v>
      </c>
      <c r="AP7" s="284" t="s">
        <v>103</v>
      </c>
      <c r="AQ7" s="562" t="s">
        <v>102</v>
      </c>
      <c r="AR7" s="557"/>
      <c r="AS7" s="49"/>
      <c r="AT7" s="49"/>
      <c r="AU7" s="49"/>
      <c r="AV7" s="51">
        <f>IF((SUM(AR72:AW72)+SUM(AR74:AW74))=0,0,(SUM(AR72:AW72)+SUM(AR74:AW74))/Нормы!$G$39)</f>
        <v>4</v>
      </c>
      <c r="AW7" s="284" t="s">
        <v>103</v>
      </c>
      <c r="AX7" s="562" t="s">
        <v>102</v>
      </c>
      <c r="AY7" s="557"/>
      <c r="AZ7" s="49"/>
      <c r="BA7" s="49"/>
      <c r="BB7" s="49"/>
      <c r="BC7" s="51">
        <f>IF((SUM(AY72:BD72)+SUM(AY74:BD74))=0,0,(SUM(AY72:BD72)+SUM(AY74:BD74))/Нормы!$G$39)</f>
        <v>0</v>
      </c>
      <c r="BD7" s="284" t="s">
        <v>103</v>
      </c>
      <c r="BE7" s="562" t="s">
        <v>102</v>
      </c>
      <c r="BF7" s="557"/>
      <c r="BG7" s="49"/>
      <c r="BH7" s="49"/>
      <c r="BI7" s="49"/>
      <c r="BJ7" s="51">
        <f>IF((SUM(BF72:BK72)+SUM(BF74:BK74))=0,0,(SUM(BF72:BK72)+SUM(BF74:BK74))/Нормы!$G$39)</f>
        <v>12</v>
      </c>
      <c r="BK7" s="284" t="s">
        <v>103</v>
      </c>
      <c r="BL7" s="562" t="s">
        <v>102</v>
      </c>
      <c r="BM7" s="557"/>
      <c r="BN7" s="49"/>
      <c r="BO7" s="49"/>
      <c r="BP7" s="49"/>
      <c r="BQ7" s="51">
        <f>IF((SUM(BM72:BR72)+SUM(BM74:BR74))=0,0,(SUM(BM72:BR72)+SUM(BM74:BR74))/Нормы!$G$39)</f>
        <v>9</v>
      </c>
      <c r="BR7" s="284" t="s">
        <v>103</v>
      </c>
      <c r="BS7" s="562" t="s">
        <v>102</v>
      </c>
      <c r="BT7" s="557"/>
      <c r="BU7" s="49"/>
      <c r="BV7" s="49"/>
      <c r="BW7" s="49"/>
      <c r="BX7" s="51">
        <f>IF((SUM(BT72:BY72)+SUM(BT74:BY74))=0,0,(SUM(BT72:BY72)+SUM(BT74:BY74))/Нормы!$G$39)</f>
        <v>4</v>
      </c>
      <c r="BY7" s="284" t="s">
        <v>103</v>
      </c>
      <c r="BZ7" s="48"/>
      <c r="CA7" s="557" t="s">
        <v>102</v>
      </c>
      <c r="CB7" s="557"/>
      <c r="CC7" s="49"/>
      <c r="CD7" s="49"/>
      <c r="CE7" s="50"/>
      <c r="CF7" s="51">
        <f>IF((SUM(CA72:CG72)+SUM(CA74:CG74))=0,0,(SUM(CA72:CG72)+SUM(CA74:CG74))/Нормы!$G$38)</f>
        <v>0</v>
      </c>
      <c r="CG7" s="52" t="s">
        <v>103</v>
      </c>
      <c r="CH7" s="53"/>
      <c r="CI7" s="557" t="s">
        <v>102</v>
      </c>
      <c r="CJ7" s="557"/>
      <c r="CK7" s="49"/>
      <c r="CL7" s="49"/>
      <c r="CM7" s="50"/>
      <c r="CN7" s="51">
        <f>IF((SUM(CI72:CO72)+SUM(CI74:CO74))=0,0,(SUM(CI72:CO72)+SUM(CI74:CO74))/Нормы!$G$38)</f>
        <v>0</v>
      </c>
      <c r="CO7" s="54" t="s">
        <v>103</v>
      </c>
      <c r="CP7" s="605"/>
      <c r="CQ7" s="605"/>
      <c r="CR7" s="427"/>
    </row>
    <row r="8" spans="1:96" s="43" customFormat="1" ht="12.75" customHeight="1">
      <c r="A8" s="571"/>
      <c r="B8" s="571"/>
      <c r="C8" s="571"/>
      <c r="D8" s="568"/>
      <c r="E8" s="568"/>
      <c r="F8" s="254"/>
      <c r="G8" s="254"/>
      <c r="H8" s="568"/>
      <c r="I8" s="580"/>
      <c r="J8" s="446"/>
      <c r="K8" s="446"/>
      <c r="L8" s="626"/>
      <c r="M8" s="627"/>
      <c r="N8" s="573"/>
      <c r="O8" s="594"/>
      <c r="P8" s="573"/>
      <c r="Q8" s="573"/>
      <c r="R8" s="573"/>
      <c r="S8" s="573"/>
      <c r="T8" s="597"/>
      <c r="U8" s="601"/>
      <c r="V8" s="563" t="s">
        <v>531</v>
      </c>
      <c r="W8" s="556"/>
      <c r="X8" s="556"/>
      <c r="Y8" s="273"/>
      <c r="Z8" s="273"/>
      <c r="AA8" s="56">
        <f>IF(SUM(W77:AB77)=0,0,SUM(W77:AB77)/Нормы!$G$38)</f>
        <v>0</v>
      </c>
      <c r="AB8" s="278" t="s">
        <v>103</v>
      </c>
      <c r="AC8" s="563" t="s">
        <v>531</v>
      </c>
      <c r="AD8" s="556"/>
      <c r="AE8" s="556"/>
      <c r="AF8" s="273"/>
      <c r="AG8" s="273"/>
      <c r="AH8" s="56">
        <f>IF(SUM(AD77:AI77)=0,0,SUM(AD77:AI77)/Нормы!$G$38)</f>
        <v>0</v>
      </c>
      <c r="AI8" s="278" t="s">
        <v>103</v>
      </c>
      <c r="AJ8" s="563" t="s">
        <v>531</v>
      </c>
      <c r="AK8" s="556"/>
      <c r="AL8" s="556"/>
      <c r="AM8" s="273"/>
      <c r="AN8" s="273"/>
      <c r="AO8" s="56">
        <f>IF(SUM(AK77:AP77)=0,0,SUM(AK77:AP77)/Нормы!$G$38)</f>
        <v>0</v>
      </c>
      <c r="AP8" s="278" t="s">
        <v>103</v>
      </c>
      <c r="AQ8" s="563" t="s">
        <v>531</v>
      </c>
      <c r="AR8" s="556"/>
      <c r="AS8" s="556"/>
      <c r="AT8" s="273"/>
      <c r="AU8" s="273"/>
      <c r="AV8" s="56">
        <f>IF(SUM(AR77:AW77)=0,0,SUM(AR77:AW77)/Нормы!$G$38)</f>
        <v>0</v>
      </c>
      <c r="AW8" s="278" t="s">
        <v>103</v>
      </c>
      <c r="AX8" s="563" t="s">
        <v>531</v>
      </c>
      <c r="AY8" s="556"/>
      <c r="AZ8" s="556"/>
      <c r="BA8" s="273"/>
      <c r="BB8" s="273"/>
      <c r="BC8" s="56">
        <f>IF(SUM(AY77:BD77)=0,0,SUM(AY77:BD77)/Нормы!$G$38)</f>
        <v>0</v>
      </c>
      <c r="BD8" s="278" t="s">
        <v>103</v>
      </c>
      <c r="BE8" s="563" t="s">
        <v>531</v>
      </c>
      <c r="BF8" s="556"/>
      <c r="BG8" s="556"/>
      <c r="BH8" s="273"/>
      <c r="BI8" s="273"/>
      <c r="BJ8" s="56">
        <f>IF(SUM(BF77:BK77)=0,0,SUM(BF77:BK77)/Нормы!$G$38)</f>
        <v>0</v>
      </c>
      <c r="BK8" s="278" t="s">
        <v>103</v>
      </c>
      <c r="BL8" s="563" t="s">
        <v>531</v>
      </c>
      <c r="BM8" s="556"/>
      <c r="BN8" s="556"/>
      <c r="BO8" s="273"/>
      <c r="BP8" s="273"/>
      <c r="BQ8" s="56">
        <f>IF(SUM(BM77:BR77)=0,0,SUM(BM77:BR77)/Нормы!$G$38)</f>
        <v>0</v>
      </c>
      <c r="BR8" s="278" t="s">
        <v>103</v>
      </c>
      <c r="BS8" s="563" t="s">
        <v>531</v>
      </c>
      <c r="BT8" s="556"/>
      <c r="BU8" s="556"/>
      <c r="BV8" s="273"/>
      <c r="BW8" s="273"/>
      <c r="BX8" s="56">
        <f>IF(SUM(BT77:BY77)=0,0,SUM(BT77:BY77)/Нормы!$G$38)</f>
        <v>0</v>
      </c>
      <c r="BY8" s="278" t="s">
        <v>103</v>
      </c>
      <c r="BZ8" s="55"/>
      <c r="CA8" s="556" t="s">
        <v>104</v>
      </c>
      <c r="CB8" s="556"/>
      <c r="CC8" s="556"/>
      <c r="CD8" s="273"/>
      <c r="CE8" s="273"/>
      <c r="CF8" s="56">
        <f>IF(SUM(CA77:CG77)=0,0,SUM(CA77:CG77)/Нормы!$G$38)</f>
        <v>0</v>
      </c>
      <c r="CG8" s="57" t="s">
        <v>103</v>
      </c>
      <c r="CH8" s="58"/>
      <c r="CI8" s="556" t="s">
        <v>104</v>
      </c>
      <c r="CJ8" s="556"/>
      <c r="CK8" s="556"/>
      <c r="CL8" s="556"/>
      <c r="CM8" s="556"/>
      <c r="CN8" s="56">
        <f>IF(SUM(CI77:CO77)=0,0,SUM(CI77:CO77)/Нормы!$G$38)</f>
        <v>0</v>
      </c>
      <c r="CO8" s="60" t="s">
        <v>103</v>
      </c>
      <c r="CP8" s="605"/>
      <c r="CQ8" s="605"/>
      <c r="CR8" s="427"/>
    </row>
    <row r="9" spans="1:96" s="43" customFormat="1" ht="123" customHeight="1">
      <c r="A9" s="571"/>
      <c r="B9" s="571"/>
      <c r="C9" s="571"/>
      <c r="D9" s="568"/>
      <c r="E9" s="568"/>
      <c r="F9" s="254" t="s">
        <v>516</v>
      </c>
      <c r="G9" s="254" t="s">
        <v>517</v>
      </c>
      <c r="H9" s="568"/>
      <c r="I9" s="580"/>
      <c r="J9" s="446"/>
      <c r="K9" s="446"/>
      <c r="L9" s="282" t="s">
        <v>127</v>
      </c>
      <c r="M9" s="282" t="s">
        <v>177</v>
      </c>
      <c r="N9" s="574"/>
      <c r="O9" s="595"/>
      <c r="P9" s="573"/>
      <c r="Q9" s="573"/>
      <c r="R9" s="573"/>
      <c r="S9" s="574"/>
      <c r="T9" s="598"/>
      <c r="U9" s="601"/>
      <c r="V9" s="279" t="s">
        <v>94</v>
      </c>
      <c r="W9" s="280" t="s">
        <v>523</v>
      </c>
      <c r="X9" s="280" t="s">
        <v>524</v>
      </c>
      <c r="Y9" s="281" t="s">
        <v>525</v>
      </c>
      <c r="Z9" s="280" t="s">
        <v>526</v>
      </c>
      <c r="AA9" s="280" t="s">
        <v>513</v>
      </c>
      <c r="AB9" s="281" t="s">
        <v>527</v>
      </c>
      <c r="AC9" s="279" t="s">
        <v>94</v>
      </c>
      <c r="AD9" s="280" t="s">
        <v>523</v>
      </c>
      <c r="AE9" s="280" t="s">
        <v>524</v>
      </c>
      <c r="AF9" s="281" t="s">
        <v>525</v>
      </c>
      <c r="AG9" s="280" t="s">
        <v>526</v>
      </c>
      <c r="AH9" s="280" t="s">
        <v>513</v>
      </c>
      <c r="AI9" s="281" t="s">
        <v>527</v>
      </c>
      <c r="AJ9" s="279" t="s">
        <v>94</v>
      </c>
      <c r="AK9" s="280" t="s">
        <v>523</v>
      </c>
      <c r="AL9" s="280" t="s">
        <v>524</v>
      </c>
      <c r="AM9" s="281" t="s">
        <v>525</v>
      </c>
      <c r="AN9" s="280" t="s">
        <v>526</v>
      </c>
      <c r="AO9" s="280" t="s">
        <v>513</v>
      </c>
      <c r="AP9" s="281" t="s">
        <v>527</v>
      </c>
      <c r="AQ9" s="279" t="s">
        <v>94</v>
      </c>
      <c r="AR9" s="280" t="s">
        <v>523</v>
      </c>
      <c r="AS9" s="280" t="s">
        <v>524</v>
      </c>
      <c r="AT9" s="281" t="s">
        <v>525</v>
      </c>
      <c r="AU9" s="280" t="s">
        <v>526</v>
      </c>
      <c r="AV9" s="280" t="s">
        <v>513</v>
      </c>
      <c r="AW9" s="281" t="s">
        <v>527</v>
      </c>
      <c r="AX9" s="279" t="s">
        <v>94</v>
      </c>
      <c r="AY9" s="280" t="s">
        <v>523</v>
      </c>
      <c r="AZ9" s="280" t="s">
        <v>524</v>
      </c>
      <c r="BA9" s="281" t="s">
        <v>525</v>
      </c>
      <c r="BB9" s="280" t="s">
        <v>526</v>
      </c>
      <c r="BC9" s="280" t="s">
        <v>513</v>
      </c>
      <c r="BD9" s="281" t="s">
        <v>527</v>
      </c>
      <c r="BE9" s="279" t="s">
        <v>94</v>
      </c>
      <c r="BF9" s="280" t="s">
        <v>523</v>
      </c>
      <c r="BG9" s="280" t="s">
        <v>524</v>
      </c>
      <c r="BH9" s="281" t="s">
        <v>525</v>
      </c>
      <c r="BI9" s="280" t="s">
        <v>526</v>
      </c>
      <c r="BJ9" s="280" t="s">
        <v>513</v>
      </c>
      <c r="BK9" s="281" t="s">
        <v>527</v>
      </c>
      <c r="BL9" s="279" t="s">
        <v>94</v>
      </c>
      <c r="BM9" s="280" t="s">
        <v>523</v>
      </c>
      <c r="BN9" s="280" t="s">
        <v>524</v>
      </c>
      <c r="BO9" s="281" t="s">
        <v>525</v>
      </c>
      <c r="BP9" s="280" t="s">
        <v>526</v>
      </c>
      <c r="BQ9" s="280" t="s">
        <v>513</v>
      </c>
      <c r="BR9" s="281" t="s">
        <v>527</v>
      </c>
      <c r="BS9" s="279" t="s">
        <v>94</v>
      </c>
      <c r="BT9" s="280" t="s">
        <v>523</v>
      </c>
      <c r="BU9" s="280" t="s">
        <v>524</v>
      </c>
      <c r="BV9" s="281" t="s">
        <v>525</v>
      </c>
      <c r="BW9" s="280" t="s">
        <v>526</v>
      </c>
      <c r="BX9" s="280" t="s">
        <v>513</v>
      </c>
      <c r="BY9" s="281" t="s">
        <v>527</v>
      </c>
      <c r="BZ9" s="61" t="s">
        <v>94</v>
      </c>
      <c r="CA9" s="62" t="s">
        <v>213</v>
      </c>
      <c r="CB9" s="62" t="s">
        <v>214</v>
      </c>
      <c r="CC9" s="62" t="s">
        <v>57</v>
      </c>
      <c r="CD9" s="62" t="s">
        <v>158</v>
      </c>
      <c r="CE9" s="62" t="s">
        <v>105</v>
      </c>
      <c r="CF9" s="280" t="s">
        <v>513</v>
      </c>
      <c r="CG9" s="63" t="s">
        <v>58</v>
      </c>
      <c r="CH9" s="64" t="s">
        <v>94</v>
      </c>
      <c r="CI9" s="62" t="s">
        <v>213</v>
      </c>
      <c r="CJ9" s="62" t="s">
        <v>214</v>
      </c>
      <c r="CK9" s="62" t="s">
        <v>57</v>
      </c>
      <c r="CL9" s="62" t="s">
        <v>105</v>
      </c>
      <c r="CM9" s="280" t="s">
        <v>513</v>
      </c>
      <c r="CN9" s="62" t="s">
        <v>105</v>
      </c>
      <c r="CO9" s="283" t="s">
        <v>58</v>
      </c>
      <c r="CP9" s="606"/>
      <c r="CQ9" s="606"/>
      <c r="CR9" s="427"/>
    </row>
    <row r="10" spans="1:96" s="43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47"/>
      <c r="K10" s="447"/>
      <c r="L10" s="42">
        <v>10</v>
      </c>
      <c r="M10" s="42">
        <v>11</v>
      </c>
      <c r="N10" s="42">
        <v>12</v>
      </c>
      <c r="O10" s="42">
        <v>13</v>
      </c>
      <c r="P10" s="42">
        <v>14</v>
      </c>
      <c r="Q10" s="42">
        <v>15</v>
      </c>
      <c r="R10" s="42">
        <v>16</v>
      </c>
      <c r="S10" s="42">
        <v>17</v>
      </c>
      <c r="T10" s="42">
        <v>18</v>
      </c>
      <c r="U10" s="42">
        <v>19</v>
      </c>
      <c r="V10" s="42">
        <v>20</v>
      </c>
      <c r="W10" s="42">
        <v>21</v>
      </c>
      <c r="X10" s="42">
        <v>22</v>
      </c>
      <c r="Y10" s="42">
        <v>23</v>
      </c>
      <c r="Z10" s="42">
        <v>24</v>
      </c>
      <c r="AA10" s="42">
        <v>25</v>
      </c>
      <c r="AB10" s="42">
        <v>26</v>
      </c>
      <c r="AC10" s="42">
        <v>27</v>
      </c>
      <c r="AD10" s="42">
        <v>28</v>
      </c>
      <c r="AE10" s="42">
        <v>29</v>
      </c>
      <c r="AF10" s="42">
        <v>30</v>
      </c>
      <c r="AG10" s="42">
        <v>31</v>
      </c>
      <c r="AH10" s="42">
        <v>32</v>
      </c>
      <c r="AI10" s="42">
        <v>33</v>
      </c>
      <c r="AJ10" s="42">
        <v>34</v>
      </c>
      <c r="AK10" s="42">
        <v>35</v>
      </c>
      <c r="AL10" s="42">
        <v>36</v>
      </c>
      <c r="AM10" s="42">
        <v>37</v>
      </c>
      <c r="AN10" s="42">
        <v>38</v>
      </c>
      <c r="AO10" s="42">
        <v>39</v>
      </c>
      <c r="AP10" s="42">
        <v>40</v>
      </c>
      <c r="AQ10" s="42">
        <v>41</v>
      </c>
      <c r="AR10" s="42">
        <v>42</v>
      </c>
      <c r="AS10" s="42">
        <v>43</v>
      </c>
      <c r="AT10" s="42">
        <v>44</v>
      </c>
      <c r="AU10" s="42">
        <v>45</v>
      </c>
      <c r="AV10" s="42">
        <v>46</v>
      </c>
      <c r="AW10" s="42">
        <v>47</v>
      </c>
      <c r="AX10" s="42">
        <v>48</v>
      </c>
      <c r="AY10" s="42">
        <v>49</v>
      </c>
      <c r="AZ10" s="42">
        <v>50</v>
      </c>
      <c r="BA10" s="42">
        <v>51</v>
      </c>
      <c r="BB10" s="42">
        <v>52</v>
      </c>
      <c r="BC10" s="42">
        <v>53</v>
      </c>
      <c r="BD10" s="42">
        <v>54</v>
      </c>
      <c r="BE10" s="42">
        <v>55</v>
      </c>
      <c r="BF10" s="42">
        <v>56</v>
      </c>
      <c r="BG10" s="42">
        <v>57</v>
      </c>
      <c r="BH10" s="42">
        <v>58</v>
      </c>
      <c r="BI10" s="42">
        <v>59</v>
      </c>
      <c r="BJ10" s="42">
        <v>60</v>
      </c>
      <c r="BK10" s="42">
        <v>61</v>
      </c>
      <c r="BL10" s="42">
        <v>62</v>
      </c>
      <c r="BM10" s="42">
        <v>63</v>
      </c>
      <c r="BN10" s="42">
        <v>64</v>
      </c>
      <c r="BO10" s="42">
        <v>65</v>
      </c>
      <c r="BP10" s="42">
        <v>66</v>
      </c>
      <c r="BQ10" s="42">
        <v>67</v>
      </c>
      <c r="BR10" s="42">
        <v>68</v>
      </c>
      <c r="BS10" s="42">
        <v>69</v>
      </c>
      <c r="BT10" s="42">
        <v>70</v>
      </c>
      <c r="BU10" s="42">
        <v>71</v>
      </c>
      <c r="BV10" s="42">
        <v>72</v>
      </c>
      <c r="BW10" s="42">
        <v>73</v>
      </c>
      <c r="BX10" s="42">
        <v>74</v>
      </c>
      <c r="BY10" s="42">
        <v>75</v>
      </c>
      <c r="BZ10" s="42">
        <v>93</v>
      </c>
      <c r="CA10" s="42">
        <v>94</v>
      </c>
      <c r="CB10" s="42">
        <v>95</v>
      </c>
      <c r="CC10" s="42">
        <v>96</v>
      </c>
      <c r="CD10" s="42">
        <v>97</v>
      </c>
      <c r="CE10" s="42">
        <v>98</v>
      </c>
      <c r="CF10" s="42">
        <v>99</v>
      </c>
      <c r="CG10" s="42">
        <v>100</v>
      </c>
      <c r="CH10" s="42">
        <v>102</v>
      </c>
      <c r="CI10" s="42">
        <v>103</v>
      </c>
      <c r="CJ10" s="42">
        <v>104</v>
      </c>
      <c r="CK10" s="42">
        <v>105</v>
      </c>
      <c r="CL10" s="42">
        <v>106</v>
      </c>
      <c r="CM10" s="42">
        <v>107</v>
      </c>
      <c r="CN10" s="42">
        <v>108</v>
      </c>
      <c r="CO10" s="42">
        <v>109</v>
      </c>
      <c r="CP10" s="42">
        <v>110</v>
      </c>
      <c r="CQ10" s="42">
        <v>111</v>
      </c>
      <c r="CR10" s="427"/>
    </row>
    <row r="11" spans="1:96" s="403" customFormat="1" ht="30.75" customHeight="1">
      <c r="A11" s="404"/>
      <c r="B11" s="591" t="s">
        <v>471</v>
      </c>
      <c r="C11" s="591"/>
      <c r="D11" s="591"/>
      <c r="E11" s="591"/>
      <c r="F11" s="591"/>
      <c r="G11" s="591"/>
      <c r="H11" s="591"/>
      <c r="I11" s="591"/>
      <c r="J11" s="448"/>
      <c r="K11" s="448"/>
      <c r="L11" s="390">
        <v>2106</v>
      </c>
      <c r="M11" s="390">
        <v>1404</v>
      </c>
      <c r="N11" s="390">
        <f>N12+N21+N25</f>
        <v>2106</v>
      </c>
      <c r="O11" s="390">
        <f>O12+O21+O25</f>
        <v>1404</v>
      </c>
      <c r="P11" s="390">
        <f>P12+P21+P25</f>
        <v>1159</v>
      </c>
      <c r="Q11" s="390">
        <f>Q12+Q21+Q25</f>
        <v>245</v>
      </c>
      <c r="R11" s="390">
        <f>R12+R21+R25</f>
        <v>0</v>
      </c>
      <c r="S11" s="390"/>
      <c r="T11" s="390">
        <f aca="true" t="shared" si="0" ref="T11:Y11">T12+T21+T25</f>
        <v>0</v>
      </c>
      <c r="U11" s="390">
        <f t="shared" si="0"/>
        <v>702</v>
      </c>
      <c r="V11" s="390">
        <f>V12+V21+V25</f>
        <v>816</v>
      </c>
      <c r="W11" s="390">
        <f>W12+W21+W25</f>
        <v>488</v>
      </c>
      <c r="X11" s="390">
        <f t="shared" si="0"/>
        <v>88</v>
      </c>
      <c r="Y11" s="390">
        <f t="shared" si="0"/>
        <v>0</v>
      </c>
      <c r="Z11" s="390"/>
      <c r="AA11" s="390">
        <f aca="true" t="shared" si="1" ref="AA11:AF11">AA12+AA21+AA25</f>
        <v>0</v>
      </c>
      <c r="AB11" s="390">
        <f t="shared" si="1"/>
        <v>288</v>
      </c>
      <c r="AC11" s="390">
        <f t="shared" si="1"/>
        <v>1242</v>
      </c>
      <c r="AD11" s="390">
        <f t="shared" si="1"/>
        <v>671</v>
      </c>
      <c r="AE11" s="390">
        <f t="shared" si="1"/>
        <v>157</v>
      </c>
      <c r="AF11" s="390">
        <f t="shared" si="1"/>
        <v>0</v>
      </c>
      <c r="AG11" s="390"/>
      <c r="AH11" s="390">
        <f aca="true" t="shared" si="2" ref="AH11:AM11">AH12+AH21+AH25</f>
        <v>0</v>
      </c>
      <c r="AI11" s="390">
        <f t="shared" si="2"/>
        <v>414</v>
      </c>
      <c r="AJ11" s="390">
        <f t="shared" si="2"/>
        <v>0</v>
      </c>
      <c r="AK11" s="390">
        <f t="shared" si="2"/>
        <v>0</v>
      </c>
      <c r="AL11" s="390">
        <f t="shared" si="2"/>
        <v>0</v>
      </c>
      <c r="AM11" s="390">
        <f t="shared" si="2"/>
        <v>0</v>
      </c>
      <c r="AN11" s="390"/>
      <c r="AO11" s="390">
        <f aca="true" t="shared" si="3" ref="AO11:AT11">AO12+AO21+AO25</f>
        <v>0</v>
      </c>
      <c r="AP11" s="390">
        <f t="shared" si="3"/>
        <v>0</v>
      </c>
      <c r="AQ11" s="390">
        <f t="shared" si="3"/>
        <v>0</v>
      </c>
      <c r="AR11" s="390">
        <f t="shared" si="3"/>
        <v>0</v>
      </c>
      <c r="AS11" s="390">
        <f t="shared" si="3"/>
        <v>0</v>
      </c>
      <c r="AT11" s="390">
        <f t="shared" si="3"/>
        <v>0</v>
      </c>
      <c r="AU11" s="390"/>
      <c r="AV11" s="390">
        <f aca="true" t="shared" si="4" ref="AV11:BA11">AV12+AV21+AV25</f>
        <v>0</v>
      </c>
      <c r="AW11" s="390">
        <f t="shared" si="4"/>
        <v>0</v>
      </c>
      <c r="AX11" s="390">
        <f t="shared" si="4"/>
        <v>0</v>
      </c>
      <c r="AY11" s="390">
        <f t="shared" si="4"/>
        <v>0</v>
      </c>
      <c r="AZ11" s="390">
        <f t="shared" si="4"/>
        <v>0</v>
      </c>
      <c r="BA11" s="390">
        <f t="shared" si="4"/>
        <v>0</v>
      </c>
      <c r="BB11" s="390"/>
      <c r="BC11" s="390">
        <f aca="true" t="shared" si="5" ref="BC11:BH11">BC12+BC21+BC25</f>
        <v>0</v>
      </c>
      <c r="BD11" s="390">
        <f t="shared" si="5"/>
        <v>0</v>
      </c>
      <c r="BE11" s="390">
        <f t="shared" si="5"/>
        <v>0</v>
      </c>
      <c r="BF11" s="390">
        <f t="shared" si="5"/>
        <v>0</v>
      </c>
      <c r="BG11" s="390">
        <f t="shared" si="5"/>
        <v>0</v>
      </c>
      <c r="BH11" s="390">
        <f t="shared" si="5"/>
        <v>0</v>
      </c>
      <c r="BI11" s="390"/>
      <c r="BJ11" s="390">
        <f aca="true" t="shared" si="6" ref="BJ11:BO11">BJ12+BJ21+BJ25</f>
        <v>0</v>
      </c>
      <c r="BK11" s="390">
        <f t="shared" si="6"/>
        <v>0</v>
      </c>
      <c r="BL11" s="390">
        <f t="shared" si="6"/>
        <v>0</v>
      </c>
      <c r="BM11" s="390">
        <f t="shared" si="6"/>
        <v>0</v>
      </c>
      <c r="BN11" s="390">
        <f t="shared" si="6"/>
        <v>0</v>
      </c>
      <c r="BO11" s="390">
        <f t="shared" si="6"/>
        <v>0</v>
      </c>
      <c r="BP11" s="390"/>
      <c r="BQ11" s="390">
        <f aca="true" t="shared" si="7" ref="BQ11:BV11">BQ12+BQ21+BQ25</f>
        <v>0</v>
      </c>
      <c r="BR11" s="390">
        <f t="shared" si="7"/>
        <v>0</v>
      </c>
      <c r="BS11" s="390">
        <f t="shared" si="7"/>
        <v>0</v>
      </c>
      <c r="BT11" s="390">
        <f t="shared" si="7"/>
        <v>0</v>
      </c>
      <c r="BU11" s="390">
        <f t="shared" si="7"/>
        <v>0</v>
      </c>
      <c r="BV11" s="390">
        <f t="shared" si="7"/>
        <v>0</v>
      </c>
      <c r="BW11" s="390"/>
      <c r="BX11" s="390">
        <f>BX12+BX21+BX25</f>
        <v>0</v>
      </c>
      <c r="BY11" s="390">
        <f>BY12+BY21+BY25</f>
        <v>0</v>
      </c>
      <c r="BZ11" s="390">
        <f>BZ12+BZ21</f>
        <v>0</v>
      </c>
      <c r="CA11" s="390"/>
      <c r="CB11" s="390">
        <f aca="true" t="shared" si="8" ref="CB11:CR11">CB12+CB21</f>
        <v>0</v>
      </c>
      <c r="CC11" s="390">
        <f t="shared" si="8"/>
        <v>0</v>
      </c>
      <c r="CD11" s="390">
        <f t="shared" si="8"/>
        <v>0</v>
      </c>
      <c r="CE11" s="390">
        <f t="shared" si="8"/>
        <v>0</v>
      </c>
      <c r="CF11" s="390">
        <f t="shared" si="8"/>
        <v>0</v>
      </c>
      <c r="CG11" s="390">
        <f t="shared" si="8"/>
        <v>0</v>
      </c>
      <c r="CH11" s="390">
        <f t="shared" si="8"/>
        <v>0</v>
      </c>
      <c r="CI11" s="390">
        <f t="shared" si="8"/>
        <v>0</v>
      </c>
      <c r="CJ11" s="390">
        <f t="shared" si="8"/>
        <v>0</v>
      </c>
      <c r="CK11" s="390">
        <f t="shared" si="8"/>
        <v>0</v>
      </c>
      <c r="CL11" s="390">
        <f t="shared" si="8"/>
        <v>0</v>
      </c>
      <c r="CM11" s="390">
        <f t="shared" si="8"/>
        <v>0</v>
      </c>
      <c r="CN11" s="390">
        <f t="shared" si="8"/>
        <v>0</v>
      </c>
      <c r="CO11" s="390">
        <f t="shared" si="8"/>
        <v>0</v>
      </c>
      <c r="CP11" s="390">
        <f t="shared" si="8"/>
        <v>0</v>
      </c>
      <c r="CQ11" s="467">
        <f t="shared" si="8"/>
        <v>0</v>
      </c>
      <c r="CR11" s="398">
        <f t="shared" si="8"/>
        <v>0</v>
      </c>
    </row>
    <row r="12" spans="1:96" s="403" customFormat="1" ht="33" customHeight="1">
      <c r="A12" s="401"/>
      <c r="B12" s="559" t="s">
        <v>465</v>
      </c>
      <c r="C12" s="560"/>
      <c r="D12" s="560"/>
      <c r="E12" s="560"/>
      <c r="F12" s="560"/>
      <c r="G12" s="560"/>
      <c r="H12" s="560"/>
      <c r="I12" s="561"/>
      <c r="J12" s="449"/>
      <c r="K12" s="449"/>
      <c r="L12" s="387" t="s">
        <v>20</v>
      </c>
      <c r="M12" s="387">
        <f>SUM(M13:M19)</f>
        <v>652</v>
      </c>
      <c r="N12" s="387">
        <f>SUM(N13:N20)</f>
        <v>1277</v>
      </c>
      <c r="O12" s="387">
        <f>SUM(O13:O20)</f>
        <v>851</v>
      </c>
      <c r="P12" s="387">
        <f>SUM(P13:P20)</f>
        <v>679</v>
      </c>
      <c r="Q12" s="387">
        <f>SUM(Q13:R20)</f>
        <v>172</v>
      </c>
      <c r="R12" s="387">
        <f>SUM(R13:R19)</f>
        <v>0</v>
      </c>
      <c r="S12" s="387"/>
      <c r="T12" s="387">
        <f>SUM(T13:T19)</f>
        <v>0</v>
      </c>
      <c r="U12" s="387">
        <f>SUM(U13:U20)</f>
        <v>426</v>
      </c>
      <c r="V12" s="387">
        <f>SUM(V13:V19)</f>
        <v>504</v>
      </c>
      <c r="W12" s="387">
        <f aca="true" t="shared" si="9" ref="W12:AB12">SUM(W13:W20)</f>
        <v>296</v>
      </c>
      <c r="X12" s="387">
        <f t="shared" si="9"/>
        <v>72</v>
      </c>
      <c r="Y12" s="387">
        <f t="shared" si="9"/>
        <v>0</v>
      </c>
      <c r="Z12" s="387">
        <f t="shared" si="9"/>
        <v>0</v>
      </c>
      <c r="AA12" s="387">
        <f t="shared" si="9"/>
        <v>0</v>
      </c>
      <c r="AB12" s="387">
        <f t="shared" si="9"/>
        <v>184</v>
      </c>
      <c r="AC12" s="387">
        <f aca="true" t="shared" si="10" ref="AC12:AI12">SUM(AC13:AC20)</f>
        <v>725</v>
      </c>
      <c r="AD12" s="387">
        <f t="shared" si="10"/>
        <v>383</v>
      </c>
      <c r="AE12" s="387">
        <f t="shared" si="10"/>
        <v>100</v>
      </c>
      <c r="AF12" s="387">
        <f t="shared" si="10"/>
        <v>0</v>
      </c>
      <c r="AG12" s="387">
        <f t="shared" si="10"/>
        <v>0</v>
      </c>
      <c r="AH12" s="387">
        <f t="shared" si="10"/>
        <v>0</v>
      </c>
      <c r="AI12" s="387">
        <f t="shared" si="10"/>
        <v>242</v>
      </c>
      <c r="AJ12" s="387">
        <f>SUM(AJ13:AJ20)</f>
        <v>0</v>
      </c>
      <c r="AK12" s="387">
        <f>SUM(AK13:AK20)</f>
        <v>0</v>
      </c>
      <c r="AL12" s="387">
        <f>SUM(AL13:AL20)</f>
        <v>0</v>
      </c>
      <c r="AM12" s="387">
        <f>SUM(AM13:AM20)</f>
        <v>0</v>
      </c>
      <c r="AN12" s="387"/>
      <c r="AO12" s="387">
        <f aca="true" t="shared" si="11" ref="AO12:AT12">SUM(AO13:AO20)</f>
        <v>0</v>
      </c>
      <c r="AP12" s="387">
        <f t="shared" si="11"/>
        <v>0</v>
      </c>
      <c r="AQ12" s="387">
        <f t="shared" si="11"/>
        <v>0</v>
      </c>
      <c r="AR12" s="387">
        <f t="shared" si="11"/>
        <v>0</v>
      </c>
      <c r="AS12" s="387">
        <f t="shared" si="11"/>
        <v>0</v>
      </c>
      <c r="AT12" s="387">
        <f t="shared" si="11"/>
        <v>0</v>
      </c>
      <c r="AU12" s="387"/>
      <c r="AV12" s="387">
        <f aca="true" t="shared" si="12" ref="AV12:BA12">SUM(AV13:AV20)</f>
        <v>0</v>
      </c>
      <c r="AW12" s="387">
        <f t="shared" si="12"/>
        <v>0</v>
      </c>
      <c r="AX12" s="387">
        <f t="shared" si="12"/>
        <v>0</v>
      </c>
      <c r="AY12" s="387">
        <f t="shared" si="12"/>
        <v>0</v>
      </c>
      <c r="AZ12" s="387">
        <f t="shared" si="12"/>
        <v>0</v>
      </c>
      <c r="BA12" s="387">
        <f t="shared" si="12"/>
        <v>0</v>
      </c>
      <c r="BB12" s="387"/>
      <c r="BC12" s="387">
        <f aca="true" t="shared" si="13" ref="BC12:BH12">SUM(BC13:BC20)</f>
        <v>0</v>
      </c>
      <c r="BD12" s="387">
        <f t="shared" si="13"/>
        <v>0</v>
      </c>
      <c r="BE12" s="387">
        <f t="shared" si="13"/>
        <v>0</v>
      </c>
      <c r="BF12" s="387">
        <f t="shared" si="13"/>
        <v>0</v>
      </c>
      <c r="BG12" s="387">
        <f t="shared" si="13"/>
        <v>0</v>
      </c>
      <c r="BH12" s="387">
        <f t="shared" si="13"/>
        <v>0</v>
      </c>
      <c r="BI12" s="387"/>
      <c r="BJ12" s="387">
        <f aca="true" t="shared" si="14" ref="BJ12:BO12">SUM(BJ13:BJ20)</f>
        <v>0</v>
      </c>
      <c r="BK12" s="387">
        <f t="shared" si="14"/>
        <v>0</v>
      </c>
      <c r="BL12" s="387">
        <f t="shared" si="14"/>
        <v>0</v>
      </c>
      <c r="BM12" s="387">
        <f t="shared" si="14"/>
        <v>0</v>
      </c>
      <c r="BN12" s="387">
        <f t="shared" si="14"/>
        <v>0</v>
      </c>
      <c r="BO12" s="387">
        <f t="shared" si="14"/>
        <v>0</v>
      </c>
      <c r="BP12" s="387"/>
      <c r="BQ12" s="387">
        <f aca="true" t="shared" si="15" ref="BQ12:BV12">SUM(BQ13:BQ20)</f>
        <v>0</v>
      </c>
      <c r="BR12" s="387">
        <f t="shared" si="15"/>
        <v>0</v>
      </c>
      <c r="BS12" s="387">
        <f t="shared" si="15"/>
        <v>0</v>
      </c>
      <c r="BT12" s="387">
        <f t="shared" si="15"/>
        <v>0</v>
      </c>
      <c r="BU12" s="387">
        <f t="shared" si="15"/>
        <v>0</v>
      </c>
      <c r="BV12" s="387">
        <f t="shared" si="15"/>
        <v>0</v>
      </c>
      <c r="BW12" s="387"/>
      <c r="BX12" s="387">
        <f>SUM(BX13:BX20)</f>
        <v>0</v>
      </c>
      <c r="BY12" s="387">
        <f>SUM(BY13:BY20)</f>
        <v>0</v>
      </c>
      <c r="BZ12" s="387">
        <f>SUM(BZ13:BZ20)</f>
        <v>0</v>
      </c>
      <c r="CA12" s="387"/>
      <c r="CB12" s="387">
        <f aca="true" t="shared" si="16" ref="CB12:CR12">SUM(CB13:CB20)</f>
        <v>0</v>
      </c>
      <c r="CC12" s="387">
        <f t="shared" si="16"/>
        <v>0</v>
      </c>
      <c r="CD12" s="387">
        <f t="shared" si="16"/>
        <v>0</v>
      </c>
      <c r="CE12" s="387">
        <f t="shared" si="16"/>
        <v>0</v>
      </c>
      <c r="CF12" s="387">
        <f t="shared" si="16"/>
        <v>0</v>
      </c>
      <c r="CG12" s="387">
        <f t="shared" si="16"/>
        <v>0</v>
      </c>
      <c r="CH12" s="387">
        <f t="shared" si="16"/>
        <v>0</v>
      </c>
      <c r="CI12" s="387">
        <f t="shared" si="16"/>
        <v>0</v>
      </c>
      <c r="CJ12" s="387">
        <f t="shared" si="16"/>
        <v>0</v>
      </c>
      <c r="CK12" s="387">
        <f t="shared" si="16"/>
        <v>0</v>
      </c>
      <c r="CL12" s="387">
        <f t="shared" si="16"/>
        <v>0</v>
      </c>
      <c r="CM12" s="387">
        <f t="shared" si="16"/>
        <v>0</v>
      </c>
      <c r="CN12" s="387">
        <f t="shared" si="16"/>
        <v>0</v>
      </c>
      <c r="CO12" s="387">
        <f t="shared" si="16"/>
        <v>0</v>
      </c>
      <c r="CP12" s="387">
        <f t="shared" si="16"/>
        <v>0</v>
      </c>
      <c r="CQ12" s="395">
        <f t="shared" si="16"/>
        <v>0</v>
      </c>
      <c r="CR12" s="398">
        <f t="shared" si="16"/>
        <v>0</v>
      </c>
    </row>
    <row r="13" spans="1:96" s="350" customFormat="1" ht="25.5" customHeight="1">
      <c r="A13" s="347" t="s">
        <v>498</v>
      </c>
      <c r="B13" s="351" t="s">
        <v>495</v>
      </c>
      <c r="C13" s="352"/>
      <c r="D13" s="353" t="s">
        <v>26</v>
      </c>
      <c r="E13" s="353"/>
      <c r="F13" s="353"/>
      <c r="G13" s="353"/>
      <c r="H13" s="353"/>
      <c r="I13" s="353"/>
      <c r="J13" s="450"/>
      <c r="K13" s="450"/>
      <c r="L13" s="354"/>
      <c r="M13" s="355">
        <v>78</v>
      </c>
      <c r="N13" s="356">
        <f aca="true" t="shared" si="17" ref="N13:N19">O13+SUM(U13)</f>
        <v>144</v>
      </c>
      <c r="O13" s="356">
        <f aca="true" t="shared" si="18" ref="O13:O19">SUM(P13:R13)</f>
        <v>96</v>
      </c>
      <c r="P13" s="356">
        <f>W13+AD13</f>
        <v>96</v>
      </c>
      <c r="Q13" s="356">
        <f aca="true" t="shared" si="19" ref="P13:U20">X13+AE13</f>
        <v>0</v>
      </c>
      <c r="R13" s="356">
        <f t="shared" si="19"/>
        <v>0</v>
      </c>
      <c r="S13" s="356">
        <f t="shared" si="19"/>
        <v>0</v>
      </c>
      <c r="T13" s="356">
        <f t="shared" si="19"/>
        <v>0</v>
      </c>
      <c r="U13" s="356">
        <f t="shared" si="19"/>
        <v>48</v>
      </c>
      <c r="V13" s="357">
        <f aca="true" t="shared" si="20" ref="V13:V19">SUM(W13:AA13)+AB13</f>
        <v>144</v>
      </c>
      <c r="W13" s="358">
        <v>96</v>
      </c>
      <c r="X13" s="358"/>
      <c r="Y13" s="358"/>
      <c r="Z13" s="358"/>
      <c r="AA13" s="358"/>
      <c r="AB13" s="358">
        <f aca="true" t="shared" si="21" ref="AB13:AB19">SUM(W13:X13)/2</f>
        <v>48</v>
      </c>
      <c r="AC13" s="357">
        <f aca="true" t="shared" si="22" ref="AC13:AC19">SUM(AD13:AH13)+AI13</f>
        <v>0</v>
      </c>
      <c r="AD13" s="358"/>
      <c r="AE13" s="358"/>
      <c r="AF13" s="358"/>
      <c r="AG13" s="358"/>
      <c r="AH13" s="358"/>
      <c r="AI13" s="358">
        <f aca="true" t="shared" si="23" ref="AI13:AI19">SUM(AD13:AE13)/2</f>
        <v>0</v>
      </c>
      <c r="AJ13" s="357">
        <f>SUM(AK13:AP13)</f>
        <v>0</v>
      </c>
      <c r="AK13" s="358"/>
      <c r="AL13" s="358"/>
      <c r="AM13" s="358"/>
      <c r="AN13" s="358"/>
      <c r="AO13" s="358"/>
      <c r="AP13" s="358"/>
      <c r="AQ13" s="357">
        <f>SUM(AR13:AX13)</f>
        <v>0</v>
      </c>
      <c r="AR13" s="358"/>
      <c r="AS13" s="358"/>
      <c r="AT13" s="358"/>
      <c r="AU13" s="358"/>
      <c r="AV13" s="358"/>
      <c r="AW13" s="358"/>
      <c r="AX13" s="357">
        <f>SUM(AY13:BD13)</f>
        <v>0</v>
      </c>
      <c r="AY13" s="358"/>
      <c r="AZ13" s="358"/>
      <c r="BA13" s="358"/>
      <c r="BB13" s="358"/>
      <c r="BC13" s="358"/>
      <c r="BD13" s="358"/>
      <c r="BE13" s="357">
        <f>SUM(BF13:BK13)</f>
        <v>0</v>
      </c>
      <c r="BF13" s="358"/>
      <c r="BG13" s="358"/>
      <c r="BH13" s="358"/>
      <c r="BI13" s="358"/>
      <c r="BJ13" s="358"/>
      <c r="BK13" s="358"/>
      <c r="BL13" s="357">
        <f>SUM(BM13:BR13)</f>
        <v>0</v>
      </c>
      <c r="BM13" s="358"/>
      <c r="BN13" s="358"/>
      <c r="BO13" s="358"/>
      <c r="BP13" s="358"/>
      <c r="BQ13" s="358"/>
      <c r="BR13" s="358"/>
      <c r="BS13" s="357">
        <f>SUM(BT13:BY13)</f>
        <v>0</v>
      </c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7">
        <f>SUM(CE13:CJ13)</f>
        <v>0</v>
      </c>
      <c r="CE13" s="358"/>
      <c r="CF13" s="358"/>
      <c r="CG13" s="358"/>
      <c r="CH13" s="358"/>
      <c r="CI13" s="358"/>
      <c r="CJ13" s="358"/>
      <c r="CK13" s="357">
        <f>SUM(CL13:CR13)</f>
        <v>0</v>
      </c>
      <c r="CL13" s="358"/>
      <c r="CM13" s="358"/>
      <c r="CN13" s="359"/>
      <c r="CO13" s="358"/>
      <c r="CP13" s="353" t="s">
        <v>409</v>
      </c>
      <c r="CQ13" s="358"/>
      <c r="CR13" s="365"/>
    </row>
    <row r="14" spans="1:96" s="350" customFormat="1" ht="25.5" customHeight="1">
      <c r="A14" s="347" t="s">
        <v>499</v>
      </c>
      <c r="B14" s="351" t="s">
        <v>496</v>
      </c>
      <c r="C14" s="352"/>
      <c r="D14" s="360"/>
      <c r="E14" s="353" t="s">
        <v>29</v>
      </c>
      <c r="F14" s="353"/>
      <c r="G14" s="353"/>
      <c r="H14" s="353"/>
      <c r="I14" s="353" t="s">
        <v>26</v>
      </c>
      <c r="J14" s="450"/>
      <c r="K14" s="450"/>
      <c r="L14" s="354"/>
      <c r="M14" s="355">
        <v>117</v>
      </c>
      <c r="N14" s="356">
        <f t="shared" si="17"/>
        <v>186</v>
      </c>
      <c r="O14" s="356">
        <f t="shared" si="18"/>
        <v>124</v>
      </c>
      <c r="P14" s="356">
        <f t="shared" si="19"/>
        <v>124</v>
      </c>
      <c r="Q14" s="356">
        <f t="shared" si="19"/>
        <v>0</v>
      </c>
      <c r="R14" s="356">
        <f t="shared" si="19"/>
        <v>0</v>
      </c>
      <c r="S14" s="356">
        <f t="shared" si="19"/>
        <v>0</v>
      </c>
      <c r="T14" s="356">
        <f t="shared" si="19"/>
        <v>0</v>
      </c>
      <c r="U14" s="356">
        <f t="shared" si="19"/>
        <v>62</v>
      </c>
      <c r="V14" s="357">
        <f t="shared" si="20"/>
        <v>48</v>
      </c>
      <c r="W14" s="358">
        <v>32</v>
      </c>
      <c r="X14" s="358"/>
      <c r="Y14" s="358"/>
      <c r="Z14" s="358"/>
      <c r="AA14" s="358"/>
      <c r="AB14" s="358">
        <f t="shared" si="21"/>
        <v>16</v>
      </c>
      <c r="AC14" s="357">
        <f t="shared" si="22"/>
        <v>138</v>
      </c>
      <c r="AD14" s="358">
        <f>4*23</f>
        <v>92</v>
      </c>
      <c r="AE14" s="358"/>
      <c r="AF14" s="358"/>
      <c r="AG14" s="358"/>
      <c r="AH14" s="358"/>
      <c r="AI14" s="358">
        <f t="shared" si="23"/>
        <v>46</v>
      </c>
      <c r="AJ14" s="357"/>
      <c r="AK14" s="358"/>
      <c r="AL14" s="358"/>
      <c r="AM14" s="358"/>
      <c r="AN14" s="358"/>
      <c r="AO14" s="358"/>
      <c r="AP14" s="358"/>
      <c r="AQ14" s="357"/>
      <c r="AR14" s="358"/>
      <c r="AS14" s="358"/>
      <c r="AT14" s="358"/>
      <c r="AU14" s="358"/>
      <c r="AV14" s="358"/>
      <c r="AW14" s="358"/>
      <c r="AX14" s="357"/>
      <c r="AY14" s="358"/>
      <c r="AZ14" s="358"/>
      <c r="BA14" s="358"/>
      <c r="BB14" s="358"/>
      <c r="BC14" s="358"/>
      <c r="BD14" s="358"/>
      <c r="BE14" s="357"/>
      <c r="BF14" s="358"/>
      <c r="BG14" s="358"/>
      <c r="BH14" s="358"/>
      <c r="BI14" s="358"/>
      <c r="BJ14" s="358"/>
      <c r="BK14" s="358"/>
      <c r="BL14" s="357"/>
      <c r="BM14" s="358"/>
      <c r="BN14" s="358"/>
      <c r="BO14" s="358"/>
      <c r="BP14" s="358"/>
      <c r="BQ14" s="358"/>
      <c r="BR14" s="358"/>
      <c r="BS14" s="357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7"/>
      <c r="CE14" s="358"/>
      <c r="CF14" s="358"/>
      <c r="CG14" s="358"/>
      <c r="CH14" s="358"/>
      <c r="CI14" s="358"/>
      <c r="CJ14" s="358"/>
      <c r="CK14" s="357"/>
      <c r="CL14" s="358"/>
      <c r="CM14" s="358"/>
      <c r="CN14" s="359"/>
      <c r="CO14" s="358"/>
      <c r="CP14" s="361" t="s">
        <v>409</v>
      </c>
      <c r="CQ14" s="358"/>
      <c r="CR14" s="365"/>
    </row>
    <row r="15" spans="1:96" s="350" customFormat="1" ht="25.5" customHeight="1">
      <c r="A15" s="347" t="s">
        <v>500</v>
      </c>
      <c r="B15" s="351" t="s">
        <v>96</v>
      </c>
      <c r="C15" s="352"/>
      <c r="D15" s="353"/>
      <c r="E15" s="353" t="s">
        <v>532</v>
      </c>
      <c r="F15" s="353"/>
      <c r="G15" s="353"/>
      <c r="H15" s="353"/>
      <c r="I15" s="353"/>
      <c r="J15" s="450"/>
      <c r="K15" s="450"/>
      <c r="L15" s="354"/>
      <c r="M15" s="358">
        <v>117</v>
      </c>
      <c r="N15" s="356">
        <f t="shared" si="17"/>
        <v>234</v>
      </c>
      <c r="O15" s="356">
        <f t="shared" si="18"/>
        <v>156</v>
      </c>
      <c r="P15" s="356">
        <f t="shared" si="19"/>
        <v>0</v>
      </c>
      <c r="Q15" s="356">
        <f t="shared" si="19"/>
        <v>156</v>
      </c>
      <c r="R15" s="356">
        <f>Y15+AF15</f>
        <v>0</v>
      </c>
      <c r="S15" s="356">
        <f t="shared" si="19"/>
        <v>0</v>
      </c>
      <c r="T15" s="356">
        <f t="shared" si="19"/>
        <v>0</v>
      </c>
      <c r="U15" s="356">
        <f t="shared" si="19"/>
        <v>78</v>
      </c>
      <c r="V15" s="357">
        <f t="shared" si="20"/>
        <v>96</v>
      </c>
      <c r="W15" s="358"/>
      <c r="X15" s="358">
        <v>64</v>
      </c>
      <c r="Y15" s="358"/>
      <c r="Z15" s="358"/>
      <c r="AA15" s="358"/>
      <c r="AB15" s="358">
        <f t="shared" si="21"/>
        <v>32</v>
      </c>
      <c r="AC15" s="357">
        <f t="shared" si="22"/>
        <v>138</v>
      </c>
      <c r="AD15" s="358"/>
      <c r="AE15" s="358">
        <v>92</v>
      </c>
      <c r="AF15" s="358"/>
      <c r="AG15" s="358"/>
      <c r="AH15" s="358"/>
      <c r="AI15" s="358">
        <f t="shared" si="23"/>
        <v>46</v>
      </c>
      <c r="AJ15" s="357">
        <f>SUM(AK15:AP15)</f>
        <v>0</v>
      </c>
      <c r="AK15" s="358"/>
      <c r="AL15" s="358"/>
      <c r="AM15" s="358"/>
      <c r="AN15" s="358"/>
      <c r="AO15" s="358"/>
      <c r="AP15" s="358"/>
      <c r="AQ15" s="357">
        <f>SUM(AR15:AX15)</f>
        <v>0</v>
      </c>
      <c r="AR15" s="358"/>
      <c r="AS15" s="358"/>
      <c r="AT15" s="358"/>
      <c r="AU15" s="358"/>
      <c r="AV15" s="358"/>
      <c r="AW15" s="358"/>
      <c r="AX15" s="357">
        <f>SUM(AY15:BD15)</f>
        <v>0</v>
      </c>
      <c r="AY15" s="358"/>
      <c r="AZ15" s="358"/>
      <c r="BA15" s="358"/>
      <c r="BB15" s="358"/>
      <c r="BC15" s="358"/>
      <c r="BD15" s="358"/>
      <c r="BE15" s="357">
        <f>SUM(BF15:BK15)</f>
        <v>0</v>
      </c>
      <c r="BF15" s="358"/>
      <c r="BG15" s="358"/>
      <c r="BH15" s="358"/>
      <c r="BI15" s="358"/>
      <c r="BJ15" s="358"/>
      <c r="BK15" s="358"/>
      <c r="BL15" s="357">
        <f>SUM(BM15:BR15)</f>
        <v>0</v>
      </c>
      <c r="BM15" s="358"/>
      <c r="BN15" s="358"/>
      <c r="BO15" s="358"/>
      <c r="BP15" s="358"/>
      <c r="BQ15" s="358"/>
      <c r="BR15" s="358"/>
      <c r="BS15" s="357">
        <f>SUM(BT15:BY15)</f>
        <v>0</v>
      </c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7">
        <f>SUM(CE15:CJ15)</f>
        <v>0</v>
      </c>
      <c r="CE15" s="358"/>
      <c r="CF15" s="358"/>
      <c r="CG15" s="358"/>
      <c r="CH15" s="358"/>
      <c r="CI15" s="358"/>
      <c r="CJ15" s="358"/>
      <c r="CK15" s="357">
        <f>SUM(CL15:CR15)</f>
        <v>0</v>
      </c>
      <c r="CL15" s="358"/>
      <c r="CM15" s="358"/>
      <c r="CN15" s="359"/>
      <c r="CO15" s="358"/>
      <c r="CP15" s="361" t="s">
        <v>409</v>
      </c>
      <c r="CQ15" s="358"/>
      <c r="CR15" s="365"/>
    </row>
    <row r="16" spans="1:96" s="350" customFormat="1" ht="25.5" customHeight="1">
      <c r="A16" s="347" t="s">
        <v>501</v>
      </c>
      <c r="B16" s="351" t="s">
        <v>95</v>
      </c>
      <c r="C16" s="352"/>
      <c r="D16" s="353"/>
      <c r="E16" s="353" t="s">
        <v>532</v>
      </c>
      <c r="F16" s="353"/>
      <c r="G16" s="353"/>
      <c r="H16" s="353"/>
      <c r="I16" s="353"/>
      <c r="J16" s="450"/>
      <c r="K16" s="450"/>
      <c r="L16" s="354"/>
      <c r="M16" s="358">
        <v>117</v>
      </c>
      <c r="N16" s="356">
        <f t="shared" si="17"/>
        <v>234</v>
      </c>
      <c r="O16" s="356">
        <f t="shared" si="18"/>
        <v>156</v>
      </c>
      <c r="P16" s="356">
        <f t="shared" si="19"/>
        <v>156</v>
      </c>
      <c r="Q16" s="356">
        <f t="shared" si="19"/>
        <v>0</v>
      </c>
      <c r="R16" s="356">
        <f t="shared" si="19"/>
        <v>0</v>
      </c>
      <c r="S16" s="356">
        <f t="shared" si="19"/>
        <v>0</v>
      </c>
      <c r="T16" s="356">
        <f t="shared" si="19"/>
        <v>0</v>
      </c>
      <c r="U16" s="356">
        <f t="shared" si="19"/>
        <v>78</v>
      </c>
      <c r="V16" s="357">
        <f t="shared" si="20"/>
        <v>96</v>
      </c>
      <c r="W16" s="358">
        <v>64</v>
      </c>
      <c r="X16" s="358"/>
      <c r="Y16" s="358"/>
      <c r="Z16" s="358"/>
      <c r="AA16" s="358"/>
      <c r="AB16" s="358">
        <f t="shared" si="21"/>
        <v>32</v>
      </c>
      <c r="AC16" s="357">
        <f t="shared" si="22"/>
        <v>138</v>
      </c>
      <c r="AD16" s="358">
        <v>92</v>
      </c>
      <c r="AE16" s="358"/>
      <c r="AF16" s="358"/>
      <c r="AG16" s="358"/>
      <c r="AH16" s="358"/>
      <c r="AI16" s="358">
        <f t="shared" si="23"/>
        <v>46</v>
      </c>
      <c r="AJ16" s="357">
        <f>SUM(AK16:AP16)</f>
        <v>0</v>
      </c>
      <c r="AK16" s="358"/>
      <c r="AL16" s="358"/>
      <c r="AM16" s="358"/>
      <c r="AN16" s="358"/>
      <c r="AO16" s="358"/>
      <c r="AP16" s="358"/>
      <c r="AQ16" s="357">
        <f>SUM(AR16:AX16)</f>
        <v>0</v>
      </c>
      <c r="AR16" s="358"/>
      <c r="AS16" s="358"/>
      <c r="AT16" s="358"/>
      <c r="AU16" s="358"/>
      <c r="AV16" s="358"/>
      <c r="AW16" s="358"/>
      <c r="AX16" s="357">
        <f>SUM(AY16:BD16)</f>
        <v>0</v>
      </c>
      <c r="AY16" s="358"/>
      <c r="AZ16" s="358"/>
      <c r="BA16" s="358"/>
      <c r="BB16" s="358"/>
      <c r="BC16" s="358"/>
      <c r="BD16" s="358"/>
      <c r="BE16" s="357">
        <f>SUM(BF16:BK16)</f>
        <v>0</v>
      </c>
      <c r="BF16" s="358"/>
      <c r="BG16" s="358"/>
      <c r="BH16" s="358"/>
      <c r="BI16" s="358"/>
      <c r="BJ16" s="358"/>
      <c r="BK16" s="358"/>
      <c r="BL16" s="357">
        <f>SUM(BM16:BR16)</f>
        <v>0</v>
      </c>
      <c r="BM16" s="358"/>
      <c r="BN16" s="358"/>
      <c r="BO16" s="358"/>
      <c r="BP16" s="358"/>
      <c r="BQ16" s="358"/>
      <c r="BR16" s="358"/>
      <c r="BS16" s="357">
        <f>SUM(BT16:BY16)</f>
        <v>0</v>
      </c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7">
        <f>SUM(CE16:CJ16)</f>
        <v>0</v>
      </c>
      <c r="CE16" s="358"/>
      <c r="CF16" s="358"/>
      <c r="CG16" s="358"/>
      <c r="CH16" s="358"/>
      <c r="CI16" s="358"/>
      <c r="CJ16" s="358"/>
      <c r="CK16" s="357">
        <f>SUM(CL16:CR16)</f>
        <v>0</v>
      </c>
      <c r="CL16" s="358"/>
      <c r="CM16" s="358"/>
      <c r="CN16" s="359"/>
      <c r="CO16" s="358"/>
      <c r="CP16" s="361" t="s">
        <v>409</v>
      </c>
      <c r="CQ16" s="358"/>
      <c r="CR16" s="365"/>
    </row>
    <row r="17" spans="1:96" s="350" customFormat="1" ht="25.5" customHeight="1">
      <c r="A17" s="347" t="s">
        <v>502</v>
      </c>
      <c r="B17" s="351" t="s">
        <v>5</v>
      </c>
      <c r="C17" s="352"/>
      <c r="D17" s="353"/>
      <c r="E17" s="353" t="s">
        <v>532</v>
      </c>
      <c r="F17" s="353"/>
      <c r="G17" s="353"/>
      <c r="H17" s="353"/>
      <c r="I17" s="353"/>
      <c r="J17" s="450"/>
      <c r="K17" s="450"/>
      <c r="L17" s="354"/>
      <c r="M17" s="358">
        <v>117</v>
      </c>
      <c r="N17" s="356">
        <f t="shared" si="17"/>
        <v>176</v>
      </c>
      <c r="O17" s="356">
        <f t="shared" si="18"/>
        <v>117</v>
      </c>
      <c r="P17" s="356">
        <f t="shared" si="19"/>
        <v>117</v>
      </c>
      <c r="Q17" s="356">
        <f t="shared" si="19"/>
        <v>0</v>
      </c>
      <c r="R17" s="356">
        <f t="shared" si="19"/>
        <v>0</v>
      </c>
      <c r="S17" s="356">
        <f t="shared" si="19"/>
        <v>0</v>
      </c>
      <c r="T17" s="356">
        <f t="shared" si="19"/>
        <v>0</v>
      </c>
      <c r="U17" s="356">
        <f t="shared" si="19"/>
        <v>59</v>
      </c>
      <c r="V17" s="357">
        <f t="shared" si="20"/>
        <v>72</v>
      </c>
      <c r="W17" s="358">
        <v>48</v>
      </c>
      <c r="X17" s="358"/>
      <c r="Y17" s="358"/>
      <c r="Z17" s="358"/>
      <c r="AA17" s="358"/>
      <c r="AB17" s="358">
        <f t="shared" si="21"/>
        <v>24</v>
      </c>
      <c r="AC17" s="357">
        <f t="shared" si="22"/>
        <v>104</v>
      </c>
      <c r="AD17" s="354">
        <v>69</v>
      </c>
      <c r="AE17" s="358"/>
      <c r="AF17" s="358"/>
      <c r="AG17" s="358"/>
      <c r="AH17" s="358"/>
      <c r="AI17" s="358">
        <f t="shared" si="23"/>
        <v>35</v>
      </c>
      <c r="AJ17" s="357">
        <f>SUM(AK17:AP17)</f>
        <v>0</v>
      </c>
      <c r="AK17" s="358"/>
      <c r="AL17" s="358"/>
      <c r="AM17" s="358"/>
      <c r="AN17" s="358"/>
      <c r="AO17" s="358"/>
      <c r="AP17" s="358"/>
      <c r="AQ17" s="357">
        <f>SUM(AR17:AX17)</f>
        <v>0</v>
      </c>
      <c r="AR17" s="358"/>
      <c r="AS17" s="358"/>
      <c r="AT17" s="358"/>
      <c r="AU17" s="358"/>
      <c r="AV17" s="358"/>
      <c r="AW17" s="358"/>
      <c r="AX17" s="357">
        <f>SUM(AY17:BD17)</f>
        <v>0</v>
      </c>
      <c r="AY17" s="358"/>
      <c r="AZ17" s="358"/>
      <c r="BA17" s="358"/>
      <c r="BB17" s="358"/>
      <c r="BC17" s="358"/>
      <c r="BD17" s="358"/>
      <c r="BE17" s="357">
        <f>SUM(BF17:BK17)</f>
        <v>0</v>
      </c>
      <c r="BF17" s="358"/>
      <c r="BG17" s="358"/>
      <c r="BH17" s="358"/>
      <c r="BI17" s="358"/>
      <c r="BJ17" s="358"/>
      <c r="BK17" s="358"/>
      <c r="BL17" s="357">
        <f>SUM(BM17:BR17)</f>
        <v>0</v>
      </c>
      <c r="BM17" s="358"/>
      <c r="BN17" s="358"/>
      <c r="BO17" s="358"/>
      <c r="BP17" s="358"/>
      <c r="BQ17" s="358"/>
      <c r="BR17" s="358"/>
      <c r="BS17" s="357">
        <f>SUM(BT17:BY17)</f>
        <v>0</v>
      </c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7">
        <f>SUM(CE17:CJ17)</f>
        <v>0</v>
      </c>
      <c r="CE17" s="358"/>
      <c r="CF17" s="358"/>
      <c r="CG17" s="358"/>
      <c r="CH17" s="358"/>
      <c r="CI17" s="358"/>
      <c r="CJ17" s="358"/>
      <c r="CK17" s="357">
        <f>SUM(CL17:CR17)</f>
        <v>0</v>
      </c>
      <c r="CL17" s="358"/>
      <c r="CM17" s="358"/>
      <c r="CN17" s="359"/>
      <c r="CO17" s="358"/>
      <c r="CP17" s="361" t="s">
        <v>408</v>
      </c>
      <c r="CQ17" s="358"/>
      <c r="CR17" s="365"/>
    </row>
    <row r="18" spans="1:96" s="350" customFormat="1" ht="33" customHeight="1">
      <c r="A18" s="347" t="s">
        <v>503</v>
      </c>
      <c r="B18" s="351" t="s">
        <v>453</v>
      </c>
      <c r="C18" s="352"/>
      <c r="D18" s="353"/>
      <c r="E18" s="353" t="s">
        <v>29</v>
      </c>
      <c r="F18" s="353"/>
      <c r="G18" s="353"/>
      <c r="H18" s="353"/>
      <c r="I18" s="353" t="s">
        <v>26</v>
      </c>
      <c r="J18" s="450"/>
      <c r="K18" s="450"/>
      <c r="L18" s="354"/>
      <c r="M18" s="358">
        <v>70</v>
      </c>
      <c r="N18" s="356">
        <f t="shared" si="17"/>
        <v>117</v>
      </c>
      <c r="O18" s="356">
        <f t="shared" si="18"/>
        <v>78</v>
      </c>
      <c r="P18" s="356">
        <f t="shared" si="19"/>
        <v>78</v>
      </c>
      <c r="Q18" s="356">
        <f t="shared" si="19"/>
        <v>0</v>
      </c>
      <c r="R18" s="356">
        <f t="shared" si="19"/>
        <v>0</v>
      </c>
      <c r="S18" s="356">
        <f t="shared" si="19"/>
        <v>0</v>
      </c>
      <c r="T18" s="356">
        <f t="shared" si="19"/>
        <v>0</v>
      </c>
      <c r="U18" s="356">
        <f t="shared" si="19"/>
        <v>39</v>
      </c>
      <c r="V18" s="357">
        <f t="shared" si="20"/>
        <v>48</v>
      </c>
      <c r="W18" s="358">
        <v>32</v>
      </c>
      <c r="X18" s="358"/>
      <c r="Y18" s="358"/>
      <c r="Z18" s="358"/>
      <c r="AA18" s="358"/>
      <c r="AB18" s="358">
        <f t="shared" si="21"/>
        <v>16</v>
      </c>
      <c r="AC18" s="357">
        <f t="shared" si="22"/>
        <v>69</v>
      </c>
      <c r="AD18" s="358">
        <v>46</v>
      </c>
      <c r="AE18" s="358"/>
      <c r="AF18" s="358"/>
      <c r="AG18" s="358"/>
      <c r="AH18" s="358"/>
      <c r="AI18" s="358">
        <f t="shared" si="23"/>
        <v>23</v>
      </c>
      <c r="AJ18" s="357">
        <f>SUM(AK18:AP18)</f>
        <v>0</v>
      </c>
      <c r="AK18" s="358"/>
      <c r="AL18" s="358"/>
      <c r="AM18" s="358"/>
      <c r="AN18" s="358"/>
      <c r="AO18" s="358"/>
      <c r="AP18" s="358"/>
      <c r="AQ18" s="357">
        <f>SUM(AR18:AX18)</f>
        <v>0</v>
      </c>
      <c r="AR18" s="358"/>
      <c r="AS18" s="358"/>
      <c r="AT18" s="358"/>
      <c r="AU18" s="358"/>
      <c r="AV18" s="358"/>
      <c r="AW18" s="358"/>
      <c r="AX18" s="357">
        <f>SUM(AY18:BD18)</f>
        <v>0</v>
      </c>
      <c r="AY18" s="358"/>
      <c r="AZ18" s="358"/>
      <c r="BA18" s="358"/>
      <c r="BB18" s="358"/>
      <c r="BC18" s="358"/>
      <c r="BD18" s="358"/>
      <c r="BE18" s="357">
        <f>SUM(BF18:BK18)</f>
        <v>0</v>
      </c>
      <c r="BF18" s="358"/>
      <c r="BG18" s="358"/>
      <c r="BH18" s="358"/>
      <c r="BI18" s="358"/>
      <c r="BJ18" s="358"/>
      <c r="BK18" s="358"/>
      <c r="BL18" s="357">
        <f>SUM(BM18:BR18)</f>
        <v>0</v>
      </c>
      <c r="BM18" s="358"/>
      <c r="BN18" s="358"/>
      <c r="BO18" s="358"/>
      <c r="BP18" s="358"/>
      <c r="BQ18" s="358"/>
      <c r="BR18" s="358"/>
      <c r="BS18" s="357">
        <f>SUM(BT18:BY18)</f>
        <v>0</v>
      </c>
      <c r="BT18" s="358"/>
      <c r="BU18" s="358"/>
      <c r="BV18" s="358"/>
      <c r="BW18" s="358"/>
      <c r="BX18" s="358"/>
      <c r="BY18" s="358"/>
      <c r="BZ18" s="358"/>
      <c r="CA18" s="358"/>
      <c r="CB18" s="358"/>
      <c r="CC18" s="358"/>
      <c r="CD18" s="357">
        <f>SUM(CE18:CJ18)</f>
        <v>0</v>
      </c>
      <c r="CE18" s="358"/>
      <c r="CF18" s="358"/>
      <c r="CG18" s="358"/>
      <c r="CH18" s="358"/>
      <c r="CI18" s="358"/>
      <c r="CJ18" s="358"/>
      <c r="CK18" s="357">
        <f>SUM(CL18:CR18)</f>
        <v>0</v>
      </c>
      <c r="CL18" s="358"/>
      <c r="CM18" s="358"/>
      <c r="CN18" s="359"/>
      <c r="CO18" s="358"/>
      <c r="CP18" s="336" t="s">
        <v>412</v>
      </c>
      <c r="CQ18" s="358"/>
      <c r="CR18" s="365"/>
    </row>
    <row r="19" spans="1:97" s="350" customFormat="1" ht="25.5" customHeight="1">
      <c r="A19" s="347" t="s">
        <v>504</v>
      </c>
      <c r="B19" s="351" t="s">
        <v>454</v>
      </c>
      <c r="C19" s="352"/>
      <c r="D19" s="353"/>
      <c r="E19" s="353" t="s">
        <v>29</v>
      </c>
      <c r="F19" s="353"/>
      <c r="G19" s="353"/>
      <c r="H19" s="353"/>
      <c r="I19" s="353"/>
      <c r="J19" s="450"/>
      <c r="K19" s="450"/>
      <c r="L19" s="354"/>
      <c r="M19" s="358">
        <v>36</v>
      </c>
      <c r="N19" s="356">
        <f t="shared" si="17"/>
        <v>69</v>
      </c>
      <c r="O19" s="356">
        <f t="shared" si="18"/>
        <v>46</v>
      </c>
      <c r="P19" s="356">
        <f t="shared" si="19"/>
        <v>46</v>
      </c>
      <c r="Q19" s="356">
        <f t="shared" si="19"/>
        <v>0</v>
      </c>
      <c r="R19" s="356">
        <f t="shared" si="19"/>
        <v>0</v>
      </c>
      <c r="S19" s="356">
        <f t="shared" si="19"/>
        <v>0</v>
      </c>
      <c r="T19" s="356">
        <f t="shared" si="19"/>
        <v>0</v>
      </c>
      <c r="U19" s="356">
        <f t="shared" si="19"/>
        <v>23</v>
      </c>
      <c r="V19" s="357">
        <f t="shared" si="20"/>
        <v>0</v>
      </c>
      <c r="W19" s="358"/>
      <c r="X19" s="358"/>
      <c r="Y19" s="358"/>
      <c r="Z19" s="358"/>
      <c r="AA19" s="358"/>
      <c r="AB19" s="358">
        <f t="shared" si="21"/>
        <v>0</v>
      </c>
      <c r="AC19" s="357">
        <f t="shared" si="22"/>
        <v>69</v>
      </c>
      <c r="AD19" s="354">
        <v>46</v>
      </c>
      <c r="AE19" s="358"/>
      <c r="AF19" s="358"/>
      <c r="AG19" s="358"/>
      <c r="AH19" s="358"/>
      <c r="AI19" s="358">
        <f t="shared" si="23"/>
        <v>23</v>
      </c>
      <c r="AJ19" s="357"/>
      <c r="AK19" s="358"/>
      <c r="AL19" s="358"/>
      <c r="AM19" s="358"/>
      <c r="AN19" s="358"/>
      <c r="AO19" s="358"/>
      <c r="AP19" s="358"/>
      <c r="AQ19" s="357"/>
      <c r="AR19" s="358"/>
      <c r="AS19" s="358"/>
      <c r="AT19" s="358"/>
      <c r="AU19" s="358"/>
      <c r="AV19" s="358"/>
      <c r="AW19" s="358"/>
      <c r="AX19" s="357"/>
      <c r="AY19" s="358"/>
      <c r="AZ19" s="358"/>
      <c r="BA19" s="358"/>
      <c r="BB19" s="358"/>
      <c r="BC19" s="358"/>
      <c r="BD19" s="358"/>
      <c r="BE19" s="357"/>
      <c r="BF19" s="358"/>
      <c r="BG19" s="358"/>
      <c r="BH19" s="358"/>
      <c r="BI19" s="358"/>
      <c r="BJ19" s="358"/>
      <c r="BK19" s="358"/>
      <c r="BL19" s="357"/>
      <c r="BM19" s="358"/>
      <c r="BN19" s="358"/>
      <c r="BO19" s="358"/>
      <c r="BP19" s="358"/>
      <c r="BQ19" s="358"/>
      <c r="BR19" s="358"/>
      <c r="BS19" s="357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7"/>
      <c r="CE19" s="358"/>
      <c r="CF19" s="358"/>
      <c r="CG19" s="358"/>
      <c r="CH19" s="358"/>
      <c r="CI19" s="358"/>
      <c r="CJ19" s="358"/>
      <c r="CK19" s="357"/>
      <c r="CL19" s="358"/>
      <c r="CM19" s="358"/>
      <c r="CN19" s="359"/>
      <c r="CO19" s="358"/>
      <c r="CP19" s="361" t="s">
        <v>410</v>
      </c>
      <c r="CQ19" s="354"/>
      <c r="CR19" s="365"/>
      <c r="CS19" s="362"/>
    </row>
    <row r="20" spans="1:97" s="350" customFormat="1" ht="25.5" customHeight="1">
      <c r="A20" s="347" t="s">
        <v>505</v>
      </c>
      <c r="B20" s="351" t="s">
        <v>534</v>
      </c>
      <c r="C20" s="352"/>
      <c r="D20" s="353"/>
      <c r="E20" s="353" t="s">
        <v>29</v>
      </c>
      <c r="F20" s="353"/>
      <c r="G20" s="353"/>
      <c r="H20" s="353"/>
      <c r="I20" s="353" t="s">
        <v>26</v>
      </c>
      <c r="J20" s="450"/>
      <c r="K20" s="450"/>
      <c r="L20" s="354"/>
      <c r="M20" s="358"/>
      <c r="N20" s="356">
        <f>SUM(O20)+U20</f>
        <v>117</v>
      </c>
      <c r="O20" s="356">
        <f>SUM(P20:R20)</f>
        <v>78</v>
      </c>
      <c r="P20" s="356">
        <f>W20+AD20</f>
        <v>62</v>
      </c>
      <c r="Q20" s="356">
        <f t="shared" si="19"/>
        <v>16</v>
      </c>
      <c r="R20" s="356">
        <f t="shared" si="19"/>
        <v>0</v>
      </c>
      <c r="S20" s="356">
        <f t="shared" si="19"/>
        <v>0</v>
      </c>
      <c r="T20" s="356">
        <f t="shared" si="19"/>
        <v>0</v>
      </c>
      <c r="U20" s="356">
        <f>AB20+AI20</f>
        <v>39</v>
      </c>
      <c r="V20" s="357">
        <f>SUM(W20:AA20)+AB20</f>
        <v>48</v>
      </c>
      <c r="W20" s="358">
        <v>24</v>
      </c>
      <c r="X20" s="358">
        <v>8</v>
      </c>
      <c r="Y20" s="358"/>
      <c r="Z20" s="358"/>
      <c r="AA20" s="358"/>
      <c r="AB20" s="358">
        <f>SUM(W20:X20)/2</f>
        <v>16</v>
      </c>
      <c r="AC20" s="357">
        <f>SUM(AD20:AH20)+AI20</f>
        <v>69</v>
      </c>
      <c r="AD20" s="358">
        <v>38</v>
      </c>
      <c r="AE20" s="358">
        <v>8</v>
      </c>
      <c r="AF20" s="358"/>
      <c r="AG20" s="358"/>
      <c r="AH20" s="358"/>
      <c r="AI20" s="358">
        <f>SUM(AD20:AE20)/2</f>
        <v>23</v>
      </c>
      <c r="AJ20" s="357">
        <f>SUM(AK20:AP20)</f>
        <v>0</v>
      </c>
      <c r="AK20" s="358"/>
      <c r="AL20" s="358"/>
      <c r="AM20" s="358"/>
      <c r="AN20" s="358"/>
      <c r="AO20" s="358"/>
      <c r="AP20" s="358"/>
      <c r="AQ20" s="357">
        <f>SUM(AR20:AX20)</f>
        <v>0</v>
      </c>
      <c r="AR20" s="358"/>
      <c r="AS20" s="358"/>
      <c r="AT20" s="358"/>
      <c r="AU20" s="358"/>
      <c r="AV20" s="358"/>
      <c r="AW20" s="358"/>
      <c r="AX20" s="357">
        <f>SUM(AY20:BD20)</f>
        <v>0</v>
      </c>
      <c r="AY20" s="358"/>
      <c r="AZ20" s="358"/>
      <c r="BA20" s="358"/>
      <c r="BB20" s="358"/>
      <c r="BC20" s="358"/>
      <c r="BD20" s="358"/>
      <c r="BE20" s="357">
        <f>SUM(BF20:BK20)</f>
        <v>0</v>
      </c>
      <c r="BF20" s="358"/>
      <c r="BG20" s="358"/>
      <c r="BH20" s="358"/>
      <c r="BI20" s="358"/>
      <c r="BJ20" s="358"/>
      <c r="BK20" s="358"/>
      <c r="BL20" s="357">
        <f>SUM(BM20:BR20)</f>
        <v>0</v>
      </c>
      <c r="BM20" s="358"/>
      <c r="BN20" s="358"/>
      <c r="BO20" s="358"/>
      <c r="BP20" s="358"/>
      <c r="BQ20" s="358"/>
      <c r="BR20" s="358"/>
      <c r="BS20" s="357">
        <f>SUM(BT20:BY20)</f>
        <v>0</v>
      </c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7">
        <f>SUM(CE20:CJ20)</f>
        <v>0</v>
      </c>
      <c r="CE20" s="358"/>
      <c r="CF20" s="358"/>
      <c r="CG20" s="358"/>
      <c r="CH20" s="358"/>
      <c r="CI20" s="358"/>
      <c r="CJ20" s="358"/>
      <c r="CK20" s="357">
        <f>SUM(CL20:CR20)</f>
        <v>0</v>
      </c>
      <c r="CL20" s="358"/>
      <c r="CM20" s="358"/>
      <c r="CN20" s="359"/>
      <c r="CO20" s="358"/>
      <c r="CP20" s="361" t="s">
        <v>410</v>
      </c>
      <c r="CQ20" s="354"/>
      <c r="CR20" s="365"/>
      <c r="CS20" s="362"/>
    </row>
    <row r="21" spans="1:97" s="403" customFormat="1" ht="25.5" customHeight="1">
      <c r="A21" s="401"/>
      <c r="B21" s="569" t="s">
        <v>466</v>
      </c>
      <c r="C21" s="569"/>
      <c r="D21" s="569"/>
      <c r="E21" s="569"/>
      <c r="F21" s="569"/>
      <c r="G21" s="569"/>
      <c r="H21" s="569"/>
      <c r="I21" s="569"/>
      <c r="J21" s="448"/>
      <c r="K21" s="448"/>
      <c r="L21" s="387" t="s">
        <v>20</v>
      </c>
      <c r="M21" s="387">
        <f>SUM(M22:M24)</f>
        <v>455</v>
      </c>
      <c r="N21" s="387">
        <f>SUM(N22:N24)</f>
        <v>760</v>
      </c>
      <c r="O21" s="387">
        <f aca="true" t="shared" si="24" ref="O21:AI21">SUM(O22:O24)</f>
        <v>507</v>
      </c>
      <c r="P21" s="387">
        <f t="shared" si="24"/>
        <v>434</v>
      </c>
      <c r="Q21" s="387">
        <f t="shared" si="24"/>
        <v>73</v>
      </c>
      <c r="R21" s="387">
        <f t="shared" si="24"/>
        <v>0</v>
      </c>
      <c r="S21" s="387"/>
      <c r="T21" s="387">
        <f t="shared" si="24"/>
        <v>0</v>
      </c>
      <c r="U21" s="387">
        <f t="shared" si="24"/>
        <v>253</v>
      </c>
      <c r="V21" s="387">
        <f t="shared" si="24"/>
        <v>312</v>
      </c>
      <c r="W21" s="387">
        <f t="shared" si="24"/>
        <v>192</v>
      </c>
      <c r="X21" s="387">
        <f t="shared" si="24"/>
        <v>16</v>
      </c>
      <c r="Y21" s="387">
        <f t="shared" si="24"/>
        <v>0</v>
      </c>
      <c r="Z21" s="387"/>
      <c r="AA21" s="387">
        <f t="shared" si="24"/>
        <v>0</v>
      </c>
      <c r="AB21" s="387">
        <f t="shared" si="24"/>
        <v>104</v>
      </c>
      <c r="AC21" s="387">
        <f t="shared" si="24"/>
        <v>448</v>
      </c>
      <c r="AD21" s="387">
        <f t="shared" si="24"/>
        <v>242</v>
      </c>
      <c r="AE21" s="387">
        <f t="shared" si="24"/>
        <v>57</v>
      </c>
      <c r="AF21" s="387">
        <f t="shared" si="24"/>
        <v>0</v>
      </c>
      <c r="AG21" s="387"/>
      <c r="AH21" s="387">
        <f t="shared" si="24"/>
        <v>0</v>
      </c>
      <c r="AI21" s="387">
        <f t="shared" si="24"/>
        <v>149</v>
      </c>
      <c r="AJ21" s="387">
        <f aca="true" t="shared" si="25" ref="AJ21:BY21">SUM(AJ22:AJ24)</f>
        <v>0</v>
      </c>
      <c r="AK21" s="387">
        <f t="shared" si="25"/>
        <v>0</v>
      </c>
      <c r="AL21" s="387">
        <f t="shared" si="25"/>
        <v>0</v>
      </c>
      <c r="AM21" s="387">
        <f t="shared" si="25"/>
        <v>0</v>
      </c>
      <c r="AN21" s="387"/>
      <c r="AO21" s="387">
        <f t="shared" si="25"/>
        <v>0</v>
      </c>
      <c r="AP21" s="387">
        <f t="shared" si="25"/>
        <v>0</v>
      </c>
      <c r="AQ21" s="387">
        <f t="shared" si="25"/>
        <v>0</v>
      </c>
      <c r="AR21" s="387">
        <f t="shared" si="25"/>
        <v>0</v>
      </c>
      <c r="AS21" s="387">
        <f t="shared" si="25"/>
        <v>0</v>
      </c>
      <c r="AT21" s="387">
        <f t="shared" si="25"/>
        <v>0</v>
      </c>
      <c r="AU21" s="387"/>
      <c r="AV21" s="387">
        <f t="shared" si="25"/>
        <v>0</v>
      </c>
      <c r="AW21" s="387">
        <f t="shared" si="25"/>
        <v>0</v>
      </c>
      <c r="AX21" s="387">
        <f t="shared" si="25"/>
        <v>0</v>
      </c>
      <c r="AY21" s="387">
        <f t="shared" si="25"/>
        <v>0</v>
      </c>
      <c r="AZ21" s="387">
        <f t="shared" si="25"/>
        <v>0</v>
      </c>
      <c r="BA21" s="387">
        <f t="shared" si="25"/>
        <v>0</v>
      </c>
      <c r="BB21" s="387"/>
      <c r="BC21" s="387">
        <f t="shared" si="25"/>
        <v>0</v>
      </c>
      <c r="BD21" s="387">
        <f t="shared" si="25"/>
        <v>0</v>
      </c>
      <c r="BE21" s="387">
        <f t="shared" si="25"/>
        <v>0</v>
      </c>
      <c r="BF21" s="387">
        <f t="shared" si="25"/>
        <v>0</v>
      </c>
      <c r="BG21" s="387">
        <f t="shared" si="25"/>
        <v>0</v>
      </c>
      <c r="BH21" s="387">
        <f t="shared" si="25"/>
        <v>0</v>
      </c>
      <c r="BI21" s="387"/>
      <c r="BJ21" s="387">
        <f t="shared" si="25"/>
        <v>0</v>
      </c>
      <c r="BK21" s="387">
        <f t="shared" si="25"/>
        <v>0</v>
      </c>
      <c r="BL21" s="387">
        <f t="shared" si="25"/>
        <v>0</v>
      </c>
      <c r="BM21" s="387">
        <f t="shared" si="25"/>
        <v>0</v>
      </c>
      <c r="BN21" s="387">
        <f t="shared" si="25"/>
        <v>0</v>
      </c>
      <c r="BO21" s="387">
        <f t="shared" si="25"/>
        <v>0</v>
      </c>
      <c r="BP21" s="387"/>
      <c r="BQ21" s="387">
        <f t="shared" si="25"/>
        <v>0</v>
      </c>
      <c r="BR21" s="387">
        <f t="shared" si="25"/>
        <v>0</v>
      </c>
      <c r="BS21" s="387">
        <f t="shared" si="25"/>
        <v>0</v>
      </c>
      <c r="BT21" s="387">
        <f t="shared" si="25"/>
        <v>0</v>
      </c>
      <c r="BU21" s="387">
        <f t="shared" si="25"/>
        <v>0</v>
      </c>
      <c r="BV21" s="387">
        <f t="shared" si="25"/>
        <v>0</v>
      </c>
      <c r="BW21" s="387"/>
      <c r="BX21" s="387">
        <f t="shared" si="25"/>
        <v>0</v>
      </c>
      <c r="BY21" s="387">
        <f t="shared" si="25"/>
        <v>0</v>
      </c>
      <c r="BZ21" s="387">
        <f aca="true" t="shared" si="26" ref="BZ21:CR21">SUM(BZ23:BZ23)</f>
        <v>0</v>
      </c>
      <c r="CA21" s="387"/>
      <c r="CB21" s="387">
        <f t="shared" si="26"/>
        <v>0</v>
      </c>
      <c r="CC21" s="387">
        <f t="shared" si="26"/>
        <v>0</v>
      </c>
      <c r="CD21" s="387">
        <f t="shared" si="26"/>
        <v>0</v>
      </c>
      <c r="CE21" s="387">
        <f t="shared" si="26"/>
        <v>0</v>
      </c>
      <c r="CF21" s="387">
        <f t="shared" si="26"/>
        <v>0</v>
      </c>
      <c r="CG21" s="387">
        <f t="shared" si="26"/>
        <v>0</v>
      </c>
      <c r="CH21" s="387">
        <f t="shared" si="26"/>
        <v>0</v>
      </c>
      <c r="CI21" s="387">
        <f t="shared" si="26"/>
        <v>0</v>
      </c>
      <c r="CJ21" s="387">
        <f t="shared" si="26"/>
        <v>0</v>
      </c>
      <c r="CK21" s="387">
        <f t="shared" si="26"/>
        <v>0</v>
      </c>
      <c r="CL21" s="387">
        <f t="shared" si="26"/>
        <v>0</v>
      </c>
      <c r="CM21" s="387">
        <f t="shared" si="26"/>
        <v>0</v>
      </c>
      <c r="CN21" s="387">
        <f t="shared" si="26"/>
        <v>0</v>
      </c>
      <c r="CO21" s="387">
        <f t="shared" si="26"/>
        <v>0</v>
      </c>
      <c r="CP21" s="387">
        <f t="shared" si="26"/>
        <v>0</v>
      </c>
      <c r="CQ21" s="395">
        <f t="shared" si="26"/>
        <v>0</v>
      </c>
      <c r="CR21" s="398">
        <f t="shared" si="26"/>
        <v>0</v>
      </c>
      <c r="CS21" s="402"/>
    </row>
    <row r="22" spans="1:96" s="350" customFormat="1" ht="25.5" customHeight="1">
      <c r="A22" s="347" t="s">
        <v>506</v>
      </c>
      <c r="B22" s="351" t="s">
        <v>97</v>
      </c>
      <c r="C22" s="352"/>
      <c r="D22" s="353" t="s">
        <v>532</v>
      </c>
      <c r="E22" s="353"/>
      <c r="F22" s="353"/>
      <c r="G22" s="353"/>
      <c r="H22" s="353"/>
      <c r="I22" s="353"/>
      <c r="J22" s="450"/>
      <c r="K22" s="450"/>
      <c r="L22" s="358"/>
      <c r="M22" s="358">
        <v>234</v>
      </c>
      <c r="N22" s="356">
        <f>O22+SUM(U22)</f>
        <v>351</v>
      </c>
      <c r="O22" s="356">
        <f>SUM(P22:R22)</f>
        <v>234</v>
      </c>
      <c r="P22" s="356">
        <f aca="true" t="shared" si="27" ref="P22:U24">W22+AD22</f>
        <v>234</v>
      </c>
      <c r="Q22" s="356">
        <f t="shared" si="27"/>
        <v>0</v>
      </c>
      <c r="R22" s="356">
        <f t="shared" si="27"/>
        <v>0</v>
      </c>
      <c r="S22" s="356">
        <f t="shared" si="27"/>
        <v>0</v>
      </c>
      <c r="T22" s="356">
        <f t="shared" si="27"/>
        <v>0</v>
      </c>
      <c r="U22" s="356">
        <f t="shared" si="27"/>
        <v>117</v>
      </c>
      <c r="V22" s="357">
        <f>SUM(W22:AA22)+AB22</f>
        <v>144</v>
      </c>
      <c r="W22" s="358">
        <f>6*16</f>
        <v>96</v>
      </c>
      <c r="X22" s="358"/>
      <c r="Y22" s="358"/>
      <c r="Z22" s="358"/>
      <c r="AA22" s="358"/>
      <c r="AB22" s="358">
        <f>SUM(W22:X22)/2</f>
        <v>48</v>
      </c>
      <c r="AC22" s="357">
        <f>SUM(AD22:AH22)+AI22</f>
        <v>207</v>
      </c>
      <c r="AD22" s="358">
        <v>138</v>
      </c>
      <c r="AE22" s="358"/>
      <c r="AF22" s="358"/>
      <c r="AG22" s="358"/>
      <c r="AH22" s="358"/>
      <c r="AI22" s="358">
        <f>SUM(AD22:AE22)/2</f>
        <v>69</v>
      </c>
      <c r="AJ22" s="357">
        <f>SUM(AK22:AP22)</f>
        <v>0</v>
      </c>
      <c r="AK22" s="358"/>
      <c r="AL22" s="358"/>
      <c r="AM22" s="358"/>
      <c r="AN22" s="358"/>
      <c r="AO22" s="358"/>
      <c r="AP22" s="358"/>
      <c r="AQ22" s="357">
        <f>SUM(AR22:AX22)</f>
        <v>0</v>
      </c>
      <c r="AR22" s="358"/>
      <c r="AS22" s="358"/>
      <c r="AT22" s="358"/>
      <c r="AU22" s="358"/>
      <c r="AV22" s="358"/>
      <c r="AW22" s="358"/>
      <c r="AX22" s="357">
        <f>SUM(AY22:BD22)</f>
        <v>0</v>
      </c>
      <c r="AY22" s="358"/>
      <c r="AZ22" s="358"/>
      <c r="BA22" s="358"/>
      <c r="BB22" s="358"/>
      <c r="BC22" s="358"/>
      <c r="BD22" s="358"/>
      <c r="BE22" s="357">
        <f>SUM(BF22:BK22)</f>
        <v>0</v>
      </c>
      <c r="BF22" s="358"/>
      <c r="BG22" s="358"/>
      <c r="BH22" s="358"/>
      <c r="BI22" s="358"/>
      <c r="BJ22" s="358"/>
      <c r="BK22" s="358"/>
      <c r="BL22" s="357">
        <f>SUM(BM22:BR22)</f>
        <v>0</v>
      </c>
      <c r="BM22" s="358"/>
      <c r="BN22" s="358"/>
      <c r="BO22" s="358"/>
      <c r="BP22" s="358"/>
      <c r="BQ22" s="358"/>
      <c r="BR22" s="358"/>
      <c r="BS22" s="357">
        <f>SUM(BT22:BY22)</f>
        <v>0</v>
      </c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7">
        <f>SUM(CE22:CJ22)</f>
        <v>0</v>
      </c>
      <c r="CE22" s="358"/>
      <c r="CF22" s="358"/>
      <c r="CG22" s="358"/>
      <c r="CH22" s="358"/>
      <c r="CI22" s="358"/>
      <c r="CJ22" s="358"/>
      <c r="CK22" s="357">
        <f>SUM(CL22:CR22)</f>
        <v>0</v>
      </c>
      <c r="CL22" s="358"/>
      <c r="CM22" s="358"/>
      <c r="CN22" s="359"/>
      <c r="CO22" s="358"/>
      <c r="CP22" s="361" t="s">
        <v>410</v>
      </c>
      <c r="CQ22" s="358"/>
      <c r="CR22" s="365"/>
    </row>
    <row r="23" spans="1:97" s="350" customFormat="1" ht="25.5" customHeight="1">
      <c r="A23" s="347" t="s">
        <v>507</v>
      </c>
      <c r="B23" s="351" t="s">
        <v>130</v>
      </c>
      <c r="C23" s="352"/>
      <c r="D23" s="353" t="s">
        <v>29</v>
      </c>
      <c r="E23" s="353"/>
      <c r="F23" s="353"/>
      <c r="G23" s="353"/>
      <c r="H23" s="353"/>
      <c r="I23" s="373" t="s">
        <v>26</v>
      </c>
      <c r="J23" s="450"/>
      <c r="K23" s="450"/>
      <c r="L23" s="358"/>
      <c r="M23" s="358">
        <v>121</v>
      </c>
      <c r="N23" s="356">
        <f>O23+SUM(U23)</f>
        <v>233</v>
      </c>
      <c r="O23" s="356">
        <f>SUM(P23:R23)</f>
        <v>156</v>
      </c>
      <c r="P23" s="356">
        <f t="shared" si="27"/>
        <v>133</v>
      </c>
      <c r="Q23" s="356">
        <f t="shared" si="27"/>
        <v>23</v>
      </c>
      <c r="R23" s="356">
        <f t="shared" si="27"/>
        <v>0</v>
      </c>
      <c r="S23" s="356">
        <f t="shared" si="27"/>
        <v>0</v>
      </c>
      <c r="T23" s="356">
        <f t="shared" si="27"/>
        <v>0</v>
      </c>
      <c r="U23" s="356">
        <f t="shared" si="27"/>
        <v>77</v>
      </c>
      <c r="V23" s="357">
        <f>SUM(W23:AA23)+AB23</f>
        <v>96</v>
      </c>
      <c r="W23" s="358">
        <v>64</v>
      </c>
      <c r="X23" s="358"/>
      <c r="Y23" s="358"/>
      <c r="Z23" s="358"/>
      <c r="AA23" s="358"/>
      <c r="AB23" s="358">
        <f>SUM(W23:X23)/2</f>
        <v>32</v>
      </c>
      <c r="AC23" s="357">
        <f>SUM(AD23:AH23)+AI23</f>
        <v>137</v>
      </c>
      <c r="AD23" s="358">
        <v>69</v>
      </c>
      <c r="AE23" s="358">
        <v>23</v>
      </c>
      <c r="AF23" s="358"/>
      <c r="AG23" s="358"/>
      <c r="AH23" s="358"/>
      <c r="AI23" s="358">
        <v>45</v>
      </c>
      <c r="AJ23" s="357">
        <f>SUM(AK23:AP23)</f>
        <v>0</v>
      </c>
      <c r="AK23" s="358"/>
      <c r="AL23" s="358"/>
      <c r="AM23" s="358"/>
      <c r="AN23" s="358"/>
      <c r="AO23" s="358"/>
      <c r="AP23" s="358"/>
      <c r="AQ23" s="357">
        <f>SUM(AR23:AX23)</f>
        <v>0</v>
      </c>
      <c r="AR23" s="358"/>
      <c r="AS23" s="358"/>
      <c r="AT23" s="358"/>
      <c r="AU23" s="358"/>
      <c r="AV23" s="358"/>
      <c r="AW23" s="358"/>
      <c r="AX23" s="357">
        <f>SUM(AY23:BD23)</f>
        <v>0</v>
      </c>
      <c r="AY23" s="358"/>
      <c r="AZ23" s="358"/>
      <c r="BA23" s="358"/>
      <c r="BB23" s="358"/>
      <c r="BC23" s="358"/>
      <c r="BD23" s="358"/>
      <c r="BE23" s="357">
        <f>SUM(BF23:BK23)</f>
        <v>0</v>
      </c>
      <c r="BF23" s="358"/>
      <c r="BG23" s="358"/>
      <c r="BH23" s="358"/>
      <c r="BI23" s="358"/>
      <c r="BJ23" s="358"/>
      <c r="BK23" s="358"/>
      <c r="BL23" s="357">
        <f>SUM(BM23:BR23)</f>
        <v>0</v>
      </c>
      <c r="BM23" s="358"/>
      <c r="BN23" s="358"/>
      <c r="BO23" s="358"/>
      <c r="BP23" s="358"/>
      <c r="BQ23" s="358"/>
      <c r="BR23" s="358"/>
      <c r="BS23" s="357">
        <f>SUM(BT23:BY23)</f>
        <v>0</v>
      </c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7">
        <f>SUM(CE23:CJ23)</f>
        <v>0</v>
      </c>
      <c r="CE23" s="358"/>
      <c r="CF23" s="358"/>
      <c r="CG23" s="358"/>
      <c r="CH23" s="358"/>
      <c r="CI23" s="358"/>
      <c r="CJ23" s="358"/>
      <c r="CK23" s="357">
        <f>SUM(CL23:CR23)</f>
        <v>0</v>
      </c>
      <c r="CL23" s="358"/>
      <c r="CM23" s="358"/>
      <c r="CN23" s="359"/>
      <c r="CO23" s="358"/>
      <c r="CP23" s="361" t="s">
        <v>410</v>
      </c>
      <c r="CQ23" s="354"/>
      <c r="CR23" s="365"/>
      <c r="CS23" s="362"/>
    </row>
    <row r="24" spans="1:97" s="350" customFormat="1" ht="25.5" customHeight="1">
      <c r="A24" s="347" t="s">
        <v>508</v>
      </c>
      <c r="B24" s="351" t="s">
        <v>98</v>
      </c>
      <c r="C24" s="352"/>
      <c r="D24" s="353"/>
      <c r="E24" s="353" t="s">
        <v>29</v>
      </c>
      <c r="F24" s="353"/>
      <c r="G24" s="353"/>
      <c r="H24" s="353"/>
      <c r="I24" s="353" t="s">
        <v>26</v>
      </c>
      <c r="J24" s="450"/>
      <c r="K24" s="450"/>
      <c r="L24" s="354"/>
      <c r="M24" s="358">
        <v>100</v>
      </c>
      <c r="N24" s="356">
        <f>O24+SUM(U24)</f>
        <v>176</v>
      </c>
      <c r="O24" s="356">
        <f>SUM(P24:R24)</f>
        <v>117</v>
      </c>
      <c r="P24" s="356">
        <f t="shared" si="27"/>
        <v>67</v>
      </c>
      <c r="Q24" s="356">
        <f t="shared" si="27"/>
        <v>50</v>
      </c>
      <c r="R24" s="356">
        <f t="shared" si="27"/>
        <v>0</v>
      </c>
      <c r="S24" s="356">
        <f t="shared" si="27"/>
        <v>0</v>
      </c>
      <c r="T24" s="356">
        <f t="shared" si="27"/>
        <v>0</v>
      </c>
      <c r="U24" s="356">
        <f t="shared" si="27"/>
        <v>59</v>
      </c>
      <c r="V24" s="357">
        <f>SUM(W24:AA24)+AB24</f>
        <v>72</v>
      </c>
      <c r="W24" s="358">
        <v>32</v>
      </c>
      <c r="X24" s="358">
        <v>16</v>
      </c>
      <c r="Y24" s="358"/>
      <c r="Z24" s="358"/>
      <c r="AA24" s="358"/>
      <c r="AB24" s="358">
        <f>SUM(W24:X24)/2</f>
        <v>24</v>
      </c>
      <c r="AC24" s="357">
        <f>SUM(AD24:AH24)+AI24</f>
        <v>104</v>
      </c>
      <c r="AD24" s="358">
        <v>35</v>
      </c>
      <c r="AE24" s="358">
        <v>34</v>
      </c>
      <c r="AF24" s="358"/>
      <c r="AG24" s="358"/>
      <c r="AH24" s="358"/>
      <c r="AI24" s="358">
        <v>35</v>
      </c>
      <c r="AJ24" s="357">
        <f>SUM(AK24:AP24)</f>
        <v>0</v>
      </c>
      <c r="AK24" s="358"/>
      <c r="AL24" s="358"/>
      <c r="AM24" s="358"/>
      <c r="AN24" s="358"/>
      <c r="AO24" s="358"/>
      <c r="AP24" s="358"/>
      <c r="AQ24" s="357">
        <f>SUM(AR24:AX24)</f>
        <v>0</v>
      </c>
      <c r="AR24" s="358"/>
      <c r="AS24" s="358"/>
      <c r="AT24" s="358"/>
      <c r="AU24" s="358"/>
      <c r="AV24" s="358"/>
      <c r="AW24" s="358"/>
      <c r="AX24" s="357">
        <f>SUM(AY24:BD24)</f>
        <v>0</v>
      </c>
      <c r="AY24" s="358"/>
      <c r="AZ24" s="358"/>
      <c r="BA24" s="358"/>
      <c r="BB24" s="358"/>
      <c r="BC24" s="358"/>
      <c r="BD24" s="358"/>
      <c r="BE24" s="357">
        <f>SUM(BF24:BK24)</f>
        <v>0</v>
      </c>
      <c r="BF24" s="358"/>
      <c r="BG24" s="358"/>
      <c r="BH24" s="358"/>
      <c r="BI24" s="358"/>
      <c r="BJ24" s="358"/>
      <c r="BK24" s="358"/>
      <c r="BL24" s="357">
        <f>SUM(BM24:BR24)</f>
        <v>0</v>
      </c>
      <c r="BM24" s="358"/>
      <c r="BN24" s="358"/>
      <c r="BO24" s="358"/>
      <c r="BP24" s="358"/>
      <c r="BQ24" s="358"/>
      <c r="BR24" s="358"/>
      <c r="BS24" s="357">
        <f>SUM(BT24:BY24)</f>
        <v>0</v>
      </c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7">
        <f>SUM(CE24:CJ24)</f>
        <v>0</v>
      </c>
      <c r="CE24" s="358"/>
      <c r="CF24" s="358"/>
      <c r="CG24" s="358"/>
      <c r="CH24" s="358"/>
      <c r="CI24" s="358"/>
      <c r="CJ24" s="358"/>
      <c r="CK24" s="357">
        <f>SUM(CL24:CR24)</f>
        <v>0</v>
      </c>
      <c r="CL24" s="358"/>
      <c r="CM24" s="358"/>
      <c r="CN24" s="359"/>
      <c r="CO24" s="358"/>
      <c r="CP24" s="361" t="s">
        <v>410</v>
      </c>
      <c r="CQ24" s="354"/>
      <c r="CR24" s="365"/>
      <c r="CS24" s="362"/>
    </row>
    <row r="25" spans="1:144" s="400" customFormat="1" ht="25.5" customHeight="1">
      <c r="A25" s="392"/>
      <c r="B25" s="364" t="s">
        <v>510</v>
      </c>
      <c r="C25" s="364"/>
      <c r="D25" s="393"/>
      <c r="E25" s="393"/>
      <c r="F25" s="393"/>
      <c r="G25" s="393"/>
      <c r="H25" s="393"/>
      <c r="I25" s="393"/>
      <c r="J25" s="451"/>
      <c r="K25" s="451"/>
      <c r="L25" s="394"/>
      <c r="M25" s="387">
        <f>SUM(M26)</f>
        <v>0</v>
      </c>
      <c r="N25" s="387">
        <f aca="true" t="shared" si="28" ref="N25:AI25">SUM(N26:N26)</f>
        <v>69</v>
      </c>
      <c r="O25" s="387">
        <f t="shared" si="28"/>
        <v>46</v>
      </c>
      <c r="P25" s="387">
        <f t="shared" si="28"/>
        <v>46</v>
      </c>
      <c r="Q25" s="387">
        <f t="shared" si="28"/>
        <v>0</v>
      </c>
      <c r="R25" s="387">
        <f t="shared" si="28"/>
        <v>0</v>
      </c>
      <c r="S25" s="387">
        <f t="shared" si="28"/>
        <v>0</v>
      </c>
      <c r="T25" s="387">
        <f t="shared" si="28"/>
        <v>0</v>
      </c>
      <c r="U25" s="387">
        <f t="shared" si="28"/>
        <v>23</v>
      </c>
      <c r="V25" s="387">
        <f t="shared" si="28"/>
        <v>0</v>
      </c>
      <c r="W25" s="387">
        <f t="shared" si="28"/>
        <v>0</v>
      </c>
      <c r="X25" s="387">
        <f t="shared" si="28"/>
        <v>0</v>
      </c>
      <c r="Y25" s="387">
        <f t="shared" si="28"/>
        <v>0</v>
      </c>
      <c r="Z25" s="387">
        <f t="shared" si="28"/>
        <v>0</v>
      </c>
      <c r="AA25" s="387">
        <f t="shared" si="28"/>
        <v>0</v>
      </c>
      <c r="AB25" s="387">
        <f t="shared" si="28"/>
        <v>0</v>
      </c>
      <c r="AC25" s="387">
        <f t="shared" si="28"/>
        <v>69</v>
      </c>
      <c r="AD25" s="387">
        <f t="shared" si="28"/>
        <v>46</v>
      </c>
      <c r="AE25" s="387">
        <f t="shared" si="28"/>
        <v>0</v>
      </c>
      <c r="AF25" s="387">
        <f t="shared" si="28"/>
        <v>0</v>
      </c>
      <c r="AG25" s="387">
        <f t="shared" si="28"/>
        <v>0</v>
      </c>
      <c r="AH25" s="387">
        <f t="shared" si="28"/>
        <v>0</v>
      </c>
      <c r="AI25" s="387">
        <f t="shared" si="28"/>
        <v>23</v>
      </c>
      <c r="AJ25" s="387">
        <f aca="true" t="shared" si="29" ref="AJ25:CL25">SUM(AJ26)</f>
        <v>0</v>
      </c>
      <c r="AK25" s="387">
        <f t="shared" si="29"/>
        <v>0</v>
      </c>
      <c r="AL25" s="387">
        <f t="shared" si="29"/>
        <v>0</v>
      </c>
      <c r="AM25" s="387">
        <f t="shared" si="29"/>
        <v>0</v>
      </c>
      <c r="AN25" s="387"/>
      <c r="AO25" s="387">
        <f t="shared" si="29"/>
        <v>0</v>
      </c>
      <c r="AP25" s="387">
        <f t="shared" si="29"/>
        <v>0</v>
      </c>
      <c r="AQ25" s="387">
        <f t="shared" si="29"/>
        <v>0</v>
      </c>
      <c r="AR25" s="387">
        <f t="shared" si="29"/>
        <v>0</v>
      </c>
      <c r="AS25" s="387">
        <f t="shared" si="29"/>
        <v>0</v>
      </c>
      <c r="AT25" s="387">
        <f t="shared" si="29"/>
        <v>0</v>
      </c>
      <c r="AU25" s="387"/>
      <c r="AV25" s="387">
        <f t="shared" si="29"/>
        <v>0</v>
      </c>
      <c r="AW25" s="387">
        <f t="shared" si="29"/>
        <v>0</v>
      </c>
      <c r="AX25" s="387">
        <f t="shared" si="29"/>
        <v>0</v>
      </c>
      <c r="AY25" s="387">
        <f t="shared" si="29"/>
        <v>0</v>
      </c>
      <c r="AZ25" s="387">
        <f t="shared" si="29"/>
        <v>0</v>
      </c>
      <c r="BA25" s="387">
        <f t="shared" si="29"/>
        <v>0</v>
      </c>
      <c r="BB25" s="387"/>
      <c r="BC25" s="387">
        <f t="shared" si="29"/>
        <v>0</v>
      </c>
      <c r="BD25" s="387">
        <f t="shared" si="29"/>
        <v>0</v>
      </c>
      <c r="BE25" s="387">
        <f t="shared" si="29"/>
        <v>0</v>
      </c>
      <c r="BF25" s="387">
        <f t="shared" si="29"/>
        <v>0</v>
      </c>
      <c r="BG25" s="387">
        <f t="shared" si="29"/>
        <v>0</v>
      </c>
      <c r="BH25" s="387">
        <f t="shared" si="29"/>
        <v>0</v>
      </c>
      <c r="BI25" s="387"/>
      <c r="BJ25" s="387">
        <f t="shared" si="29"/>
        <v>0</v>
      </c>
      <c r="BK25" s="387">
        <f t="shared" si="29"/>
        <v>0</v>
      </c>
      <c r="BL25" s="387">
        <f t="shared" si="29"/>
        <v>0</v>
      </c>
      <c r="BM25" s="387">
        <f t="shared" si="29"/>
        <v>0</v>
      </c>
      <c r="BN25" s="387">
        <f t="shared" si="29"/>
        <v>0</v>
      </c>
      <c r="BO25" s="387">
        <f t="shared" si="29"/>
        <v>0</v>
      </c>
      <c r="BP25" s="387"/>
      <c r="BQ25" s="387">
        <f t="shared" si="29"/>
        <v>0</v>
      </c>
      <c r="BR25" s="387">
        <f t="shared" si="29"/>
        <v>0</v>
      </c>
      <c r="BS25" s="387">
        <f t="shared" si="29"/>
        <v>0</v>
      </c>
      <c r="BT25" s="387">
        <f t="shared" si="29"/>
        <v>0</v>
      </c>
      <c r="BU25" s="387">
        <f t="shared" si="29"/>
        <v>0</v>
      </c>
      <c r="BV25" s="387">
        <f t="shared" si="29"/>
        <v>0</v>
      </c>
      <c r="BW25" s="387"/>
      <c r="BX25" s="387">
        <f t="shared" si="29"/>
        <v>0</v>
      </c>
      <c r="BY25" s="387">
        <f t="shared" si="29"/>
        <v>0</v>
      </c>
      <c r="BZ25" s="387">
        <f t="shared" si="29"/>
        <v>0</v>
      </c>
      <c r="CA25" s="387"/>
      <c r="CB25" s="387">
        <f t="shared" si="29"/>
        <v>0</v>
      </c>
      <c r="CC25" s="387">
        <f t="shared" si="29"/>
        <v>0</v>
      </c>
      <c r="CD25" s="387">
        <f t="shared" si="29"/>
        <v>0</v>
      </c>
      <c r="CE25" s="387"/>
      <c r="CF25" s="387"/>
      <c r="CG25" s="387"/>
      <c r="CH25" s="387">
        <f t="shared" si="29"/>
        <v>0</v>
      </c>
      <c r="CI25" s="387"/>
      <c r="CJ25" s="387">
        <f t="shared" si="29"/>
        <v>0</v>
      </c>
      <c r="CK25" s="387">
        <f t="shared" si="29"/>
        <v>0</v>
      </c>
      <c r="CL25" s="387">
        <f t="shared" si="29"/>
        <v>0</v>
      </c>
      <c r="CM25" s="395"/>
      <c r="CN25" s="396"/>
      <c r="CO25" s="395"/>
      <c r="CP25" s="387"/>
      <c r="CQ25" s="395"/>
      <c r="CR25" s="398"/>
      <c r="CS25" s="397"/>
      <c r="CT25" s="397"/>
      <c r="CU25" s="398"/>
      <c r="CV25" s="397"/>
      <c r="CW25" s="397"/>
      <c r="CX25" s="397"/>
      <c r="CY25" s="397"/>
      <c r="CZ25" s="398"/>
      <c r="DA25" s="397"/>
      <c r="DB25" s="398"/>
      <c r="DC25" s="398"/>
      <c r="DD25" s="398"/>
      <c r="DE25" s="397"/>
      <c r="DF25" s="397"/>
      <c r="DG25" s="398"/>
      <c r="DH25" s="397"/>
      <c r="DI25" s="397"/>
      <c r="DJ25" s="397"/>
      <c r="DK25" s="397"/>
      <c r="DL25" s="398"/>
      <c r="DM25" s="397"/>
      <c r="DN25" s="398"/>
      <c r="DO25" s="398"/>
      <c r="DP25" s="398"/>
      <c r="DQ25" s="397"/>
      <c r="DR25" s="397"/>
      <c r="DS25" s="398"/>
      <c r="DT25" s="397"/>
      <c r="DU25" s="397"/>
      <c r="DV25" s="397"/>
      <c r="DW25" s="397"/>
      <c r="DX25" s="398"/>
      <c r="DY25" s="397"/>
      <c r="DZ25" s="397"/>
      <c r="EA25" s="397"/>
      <c r="EB25" s="397"/>
      <c r="EC25" s="397"/>
      <c r="ED25" s="397"/>
      <c r="EE25" s="397"/>
      <c r="EF25" s="398"/>
      <c r="EG25" s="397"/>
      <c r="EH25" s="397"/>
      <c r="EI25" s="397"/>
      <c r="EJ25" s="397"/>
      <c r="EK25" s="397"/>
      <c r="EL25" s="397"/>
      <c r="EM25" s="397"/>
      <c r="EN25" s="399"/>
    </row>
    <row r="26" spans="1:144" s="368" customFormat="1" ht="25.5" customHeight="1">
      <c r="A26" s="347" t="s">
        <v>509</v>
      </c>
      <c r="B26" s="351" t="s">
        <v>497</v>
      </c>
      <c r="C26" s="352"/>
      <c r="D26" s="353"/>
      <c r="E26" s="353" t="s">
        <v>29</v>
      </c>
      <c r="F26" s="353"/>
      <c r="G26" s="353"/>
      <c r="H26" s="353"/>
      <c r="I26" s="353"/>
      <c r="J26" s="450"/>
      <c r="K26" s="450"/>
      <c r="L26" s="355"/>
      <c r="M26" s="369"/>
      <c r="N26" s="356">
        <f>O26+SUM(U26)</f>
        <v>69</v>
      </c>
      <c r="O26" s="356">
        <f>SUM(P26:R26)</f>
        <v>46</v>
      </c>
      <c r="P26" s="356">
        <f aca="true" t="shared" si="30" ref="P26:U26">W26+AD26</f>
        <v>46</v>
      </c>
      <c r="Q26" s="356">
        <f t="shared" si="30"/>
        <v>0</v>
      </c>
      <c r="R26" s="356">
        <f t="shared" si="30"/>
        <v>0</v>
      </c>
      <c r="S26" s="356">
        <f t="shared" si="30"/>
        <v>0</v>
      </c>
      <c r="T26" s="356">
        <f t="shared" si="30"/>
        <v>0</v>
      </c>
      <c r="U26" s="356">
        <f t="shared" si="30"/>
        <v>23</v>
      </c>
      <c r="V26" s="357">
        <f>SUM(W26:AA26)+AB26</f>
        <v>0</v>
      </c>
      <c r="W26" s="369"/>
      <c r="X26" s="369"/>
      <c r="Y26" s="369"/>
      <c r="Z26" s="369"/>
      <c r="AA26" s="369"/>
      <c r="AB26" s="358">
        <f>SUM(W26:X26)/2</f>
        <v>0</v>
      </c>
      <c r="AC26" s="357">
        <f>SUM(AD26:AH26)+AI26</f>
        <v>69</v>
      </c>
      <c r="AD26" s="358">
        <v>46</v>
      </c>
      <c r="AE26" s="358"/>
      <c r="AF26" s="358"/>
      <c r="AG26" s="358"/>
      <c r="AH26" s="358"/>
      <c r="AI26" s="358">
        <f>SUM(AD26:AE26)/2</f>
        <v>23</v>
      </c>
      <c r="AJ26" s="357">
        <f>SUM(AK26:AP26)</f>
        <v>0</v>
      </c>
      <c r="AK26" s="358"/>
      <c r="AL26" s="358"/>
      <c r="AM26" s="354"/>
      <c r="AN26" s="354"/>
      <c r="AO26" s="369">
        <f>SUM(AP26:BA26)</f>
        <v>0</v>
      </c>
      <c r="AP26" s="354"/>
      <c r="AQ26" s="357">
        <f>SUM(AR26:AX26)</f>
        <v>0</v>
      </c>
      <c r="AR26" s="354"/>
      <c r="AS26" s="354"/>
      <c r="AT26" s="354"/>
      <c r="AU26" s="354"/>
      <c r="AV26" s="354"/>
      <c r="AW26" s="354"/>
      <c r="AX26" s="357">
        <f>SUM(AY26:BD26)</f>
        <v>0</v>
      </c>
      <c r="AY26" s="354"/>
      <c r="AZ26" s="354"/>
      <c r="BA26" s="354"/>
      <c r="BB26" s="354"/>
      <c r="BC26" s="369"/>
      <c r="BD26" s="354"/>
      <c r="BE26" s="357">
        <f>SUM(BF26:BK26)</f>
        <v>0</v>
      </c>
      <c r="BF26" s="354"/>
      <c r="BG26" s="354"/>
      <c r="BH26" s="354"/>
      <c r="BI26" s="354"/>
      <c r="BJ26" s="354"/>
      <c r="BK26" s="354"/>
      <c r="BL26" s="357">
        <f>SUM(BM26:BR26)</f>
        <v>0</v>
      </c>
      <c r="BM26" s="354"/>
      <c r="BN26" s="354"/>
      <c r="BO26" s="354"/>
      <c r="BP26" s="354"/>
      <c r="BQ26" s="369"/>
      <c r="BR26" s="354"/>
      <c r="BS26" s="357">
        <f>SUM(BT26:BY26)</f>
        <v>0</v>
      </c>
      <c r="BT26" s="354"/>
      <c r="BU26" s="354"/>
      <c r="BV26" s="354"/>
      <c r="BW26" s="354"/>
      <c r="BX26" s="354"/>
      <c r="BY26" s="354"/>
      <c r="BZ26" s="358"/>
      <c r="CA26" s="358"/>
      <c r="CB26" s="358"/>
      <c r="CC26" s="357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7"/>
      <c r="CO26" s="358"/>
      <c r="CP26" s="358" t="s">
        <v>409</v>
      </c>
      <c r="CQ26" s="358"/>
      <c r="CR26" s="365"/>
      <c r="CS26" s="365"/>
      <c r="CT26" s="365"/>
      <c r="CU26" s="365"/>
      <c r="CV26" s="365"/>
      <c r="CW26" s="365"/>
      <c r="CX26" s="365"/>
      <c r="CY26" s="365"/>
      <c r="CZ26" s="366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6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65"/>
      <c r="DX26" s="366"/>
      <c r="DY26" s="365"/>
      <c r="DZ26" s="365"/>
      <c r="EA26" s="365"/>
      <c r="EB26" s="365"/>
      <c r="EC26" s="365"/>
      <c r="ED26" s="365"/>
      <c r="EE26" s="365"/>
      <c r="EF26" s="366"/>
      <c r="EG26" s="365"/>
      <c r="EH26" s="365"/>
      <c r="EI26" s="365"/>
      <c r="EJ26" s="365"/>
      <c r="EK26" s="365"/>
      <c r="EL26" s="365"/>
      <c r="EM26" s="365"/>
      <c r="EN26" s="367"/>
    </row>
    <row r="27" spans="1:96" s="380" customFormat="1" ht="25.5" customHeight="1">
      <c r="A27" s="348"/>
      <c r="B27" s="591" t="s">
        <v>307</v>
      </c>
      <c r="C27" s="591"/>
      <c r="D27" s="591"/>
      <c r="E27" s="591"/>
      <c r="F27" s="591"/>
      <c r="G27" s="591"/>
      <c r="H27" s="591"/>
      <c r="I27" s="591"/>
      <c r="J27" s="448"/>
      <c r="K27" s="448"/>
      <c r="L27" s="390">
        <f>Нормы!D9</f>
        <v>3178</v>
      </c>
      <c r="M27" s="390">
        <f>Нормы!E9</f>
        <v>2118</v>
      </c>
      <c r="N27" s="390">
        <f aca="true" t="shared" si="31" ref="N27:AL27">N28+N33+N36</f>
        <v>3934</v>
      </c>
      <c r="O27" s="390">
        <f t="shared" si="31"/>
        <v>2622</v>
      </c>
      <c r="P27" s="390">
        <f t="shared" si="31"/>
        <v>2134</v>
      </c>
      <c r="Q27" s="390">
        <f t="shared" si="31"/>
        <v>448</v>
      </c>
      <c r="R27" s="390">
        <f t="shared" si="31"/>
        <v>40</v>
      </c>
      <c r="S27" s="390"/>
      <c r="T27" s="390">
        <f t="shared" si="31"/>
        <v>0</v>
      </c>
      <c r="U27" s="390">
        <f t="shared" si="31"/>
        <v>1312</v>
      </c>
      <c r="V27" s="390">
        <f t="shared" si="31"/>
        <v>0</v>
      </c>
      <c r="W27" s="390">
        <f>W28+W33+W36</f>
        <v>0</v>
      </c>
      <c r="X27" s="390">
        <f t="shared" si="31"/>
        <v>0</v>
      </c>
      <c r="Y27" s="390">
        <f t="shared" si="31"/>
        <v>0</v>
      </c>
      <c r="Z27" s="390"/>
      <c r="AA27" s="390">
        <f t="shared" si="31"/>
        <v>0</v>
      </c>
      <c r="AB27" s="390">
        <f t="shared" si="31"/>
        <v>0</v>
      </c>
      <c r="AC27" s="390">
        <f t="shared" si="31"/>
        <v>0</v>
      </c>
      <c r="AD27" s="390">
        <f t="shared" si="31"/>
        <v>0</v>
      </c>
      <c r="AE27" s="390">
        <f t="shared" si="31"/>
        <v>0</v>
      </c>
      <c r="AF27" s="390">
        <f t="shared" si="31"/>
        <v>0</v>
      </c>
      <c r="AG27" s="390"/>
      <c r="AH27" s="390">
        <f t="shared" si="31"/>
        <v>0</v>
      </c>
      <c r="AI27" s="390">
        <f t="shared" si="31"/>
        <v>0</v>
      </c>
      <c r="AJ27" s="390">
        <f t="shared" si="31"/>
        <v>672</v>
      </c>
      <c r="AK27" s="390">
        <f t="shared" si="31"/>
        <v>304</v>
      </c>
      <c r="AL27" s="390">
        <f t="shared" si="31"/>
        <v>144</v>
      </c>
      <c r="AM27" s="390">
        <f aca="true" t="shared" si="32" ref="AM27:BK27">AM28+AM33+AM36</f>
        <v>0</v>
      </c>
      <c r="AN27" s="390"/>
      <c r="AO27" s="390">
        <f t="shared" si="32"/>
        <v>0</v>
      </c>
      <c r="AP27" s="390">
        <f t="shared" si="32"/>
        <v>224</v>
      </c>
      <c r="AQ27" s="390">
        <f t="shared" si="32"/>
        <v>912</v>
      </c>
      <c r="AR27" s="390">
        <f t="shared" si="32"/>
        <v>494</v>
      </c>
      <c r="AS27" s="390">
        <f t="shared" si="32"/>
        <v>114</v>
      </c>
      <c r="AT27" s="390">
        <f t="shared" si="32"/>
        <v>0</v>
      </c>
      <c r="AU27" s="390"/>
      <c r="AV27" s="390">
        <f t="shared" si="32"/>
        <v>0</v>
      </c>
      <c r="AW27" s="390">
        <f t="shared" si="32"/>
        <v>304</v>
      </c>
      <c r="AX27" s="390">
        <f t="shared" si="32"/>
        <v>766</v>
      </c>
      <c r="AY27" s="390">
        <f t="shared" si="32"/>
        <v>476</v>
      </c>
      <c r="AZ27" s="390">
        <f t="shared" si="32"/>
        <v>34</v>
      </c>
      <c r="BA27" s="390">
        <f t="shared" si="32"/>
        <v>0</v>
      </c>
      <c r="BB27" s="390"/>
      <c r="BC27" s="390">
        <f t="shared" si="32"/>
        <v>0</v>
      </c>
      <c r="BD27" s="390">
        <f t="shared" si="32"/>
        <v>256</v>
      </c>
      <c r="BE27" s="390">
        <f t="shared" si="32"/>
        <v>504</v>
      </c>
      <c r="BF27" s="390">
        <f t="shared" si="32"/>
        <v>312</v>
      </c>
      <c r="BG27" s="390">
        <f t="shared" si="32"/>
        <v>24</v>
      </c>
      <c r="BH27" s="390">
        <f t="shared" si="32"/>
        <v>0</v>
      </c>
      <c r="BI27" s="390"/>
      <c r="BJ27" s="390">
        <f t="shared" si="32"/>
        <v>0</v>
      </c>
      <c r="BK27" s="390">
        <f t="shared" si="32"/>
        <v>168</v>
      </c>
      <c r="BL27" s="390">
        <f aca="true" t="shared" si="33" ref="BL27:CL27">BL28+BL33+BL36</f>
        <v>432</v>
      </c>
      <c r="BM27" s="390">
        <f t="shared" si="33"/>
        <v>256</v>
      </c>
      <c r="BN27" s="390">
        <f t="shared" si="33"/>
        <v>32</v>
      </c>
      <c r="BO27" s="390">
        <f t="shared" si="33"/>
        <v>0</v>
      </c>
      <c r="BP27" s="390"/>
      <c r="BQ27" s="390">
        <f t="shared" si="33"/>
        <v>0</v>
      </c>
      <c r="BR27" s="390">
        <f t="shared" si="33"/>
        <v>144</v>
      </c>
      <c r="BS27" s="390">
        <f t="shared" si="33"/>
        <v>648</v>
      </c>
      <c r="BT27" s="390">
        <f t="shared" si="33"/>
        <v>292</v>
      </c>
      <c r="BU27" s="390">
        <f t="shared" si="33"/>
        <v>100</v>
      </c>
      <c r="BV27" s="390">
        <f t="shared" si="33"/>
        <v>40</v>
      </c>
      <c r="BW27" s="390"/>
      <c r="BX27" s="390">
        <f t="shared" si="33"/>
        <v>0</v>
      </c>
      <c r="BY27" s="390">
        <f t="shared" si="33"/>
        <v>216</v>
      </c>
      <c r="BZ27" s="390">
        <f t="shared" si="33"/>
        <v>0</v>
      </c>
      <c r="CA27" s="390"/>
      <c r="CB27" s="390">
        <f t="shared" si="33"/>
        <v>0</v>
      </c>
      <c r="CC27" s="390">
        <f t="shared" si="33"/>
        <v>0</v>
      </c>
      <c r="CD27" s="390">
        <f t="shared" si="33"/>
        <v>0</v>
      </c>
      <c r="CE27" s="390">
        <f t="shared" si="33"/>
        <v>0</v>
      </c>
      <c r="CF27" s="390">
        <f t="shared" si="33"/>
        <v>0</v>
      </c>
      <c r="CG27" s="390">
        <f t="shared" si="33"/>
        <v>0</v>
      </c>
      <c r="CH27" s="390">
        <f t="shared" si="33"/>
        <v>0</v>
      </c>
      <c r="CI27" s="390">
        <f t="shared" si="33"/>
        <v>0</v>
      </c>
      <c r="CJ27" s="390">
        <f t="shared" si="33"/>
        <v>0</v>
      </c>
      <c r="CK27" s="390">
        <f t="shared" si="33"/>
        <v>0</v>
      </c>
      <c r="CL27" s="390">
        <f t="shared" si="33"/>
        <v>0</v>
      </c>
      <c r="CM27" s="390">
        <f>CM28+CM33+CM36</f>
        <v>0</v>
      </c>
      <c r="CN27" s="390">
        <f>CN28+CN33+CN36</f>
        <v>0</v>
      </c>
      <c r="CO27" s="390">
        <f>CO28+CO33+CO36</f>
        <v>0</v>
      </c>
      <c r="CP27" s="391"/>
      <c r="CQ27" s="468"/>
      <c r="CR27" s="428"/>
    </row>
    <row r="28" spans="1:97" s="380" customFormat="1" ht="25.5" customHeight="1">
      <c r="A28" s="363" t="s">
        <v>124</v>
      </c>
      <c r="B28" s="559" t="s">
        <v>280</v>
      </c>
      <c r="C28" s="560"/>
      <c r="D28" s="560"/>
      <c r="E28" s="560"/>
      <c r="F28" s="560"/>
      <c r="G28" s="560"/>
      <c r="H28" s="560"/>
      <c r="I28" s="561"/>
      <c r="J28" s="449">
        <f>K28*O28</f>
        <v>717</v>
      </c>
      <c r="K28" s="449">
        <f>L28/M28</f>
        <v>1.5</v>
      </c>
      <c r="L28" s="387">
        <f>Нормы!D10</f>
        <v>648</v>
      </c>
      <c r="M28" s="387">
        <f>Нормы!E10</f>
        <v>432</v>
      </c>
      <c r="N28" s="387">
        <f aca="true" t="shared" si="34" ref="N28:AL28">SUM(N29:N32)</f>
        <v>717</v>
      </c>
      <c r="O28" s="387">
        <f t="shared" si="34"/>
        <v>478</v>
      </c>
      <c r="P28" s="387">
        <f t="shared" si="34"/>
        <v>267</v>
      </c>
      <c r="Q28" s="387">
        <f t="shared" si="34"/>
        <v>211</v>
      </c>
      <c r="R28" s="387">
        <f t="shared" si="34"/>
        <v>0</v>
      </c>
      <c r="S28" s="387"/>
      <c r="T28" s="387">
        <f t="shared" si="34"/>
        <v>0</v>
      </c>
      <c r="U28" s="387">
        <f t="shared" si="34"/>
        <v>239</v>
      </c>
      <c r="V28" s="387">
        <f t="shared" si="34"/>
        <v>0</v>
      </c>
      <c r="W28" s="387">
        <f t="shared" si="34"/>
        <v>0</v>
      </c>
      <c r="X28" s="387">
        <f t="shared" si="34"/>
        <v>0</v>
      </c>
      <c r="Y28" s="387">
        <f t="shared" si="34"/>
        <v>0</v>
      </c>
      <c r="Z28" s="387"/>
      <c r="AA28" s="387">
        <f t="shared" si="34"/>
        <v>0</v>
      </c>
      <c r="AB28" s="387">
        <f t="shared" si="34"/>
        <v>0</v>
      </c>
      <c r="AC28" s="387">
        <f t="shared" si="34"/>
        <v>0</v>
      </c>
      <c r="AD28" s="387">
        <f t="shared" si="34"/>
        <v>0</v>
      </c>
      <c r="AE28" s="387">
        <f t="shared" si="34"/>
        <v>0</v>
      </c>
      <c r="AF28" s="387">
        <f t="shared" si="34"/>
        <v>0</v>
      </c>
      <c r="AG28" s="387"/>
      <c r="AH28" s="387">
        <f t="shared" si="34"/>
        <v>0</v>
      </c>
      <c r="AI28" s="387">
        <f t="shared" si="34"/>
        <v>0</v>
      </c>
      <c r="AJ28" s="387">
        <f t="shared" si="34"/>
        <v>168</v>
      </c>
      <c r="AK28" s="387">
        <f t="shared" si="34"/>
        <v>80</v>
      </c>
      <c r="AL28" s="387">
        <f t="shared" si="34"/>
        <v>32</v>
      </c>
      <c r="AM28" s="387">
        <f aca="true" t="shared" si="35" ref="AM28:BK28">SUM(AM29:AM32)</f>
        <v>0</v>
      </c>
      <c r="AN28" s="387"/>
      <c r="AO28" s="387">
        <f t="shared" si="35"/>
        <v>0</v>
      </c>
      <c r="AP28" s="387">
        <f t="shared" si="35"/>
        <v>56</v>
      </c>
      <c r="AQ28" s="387">
        <f t="shared" si="35"/>
        <v>140</v>
      </c>
      <c r="AR28" s="387">
        <f t="shared" si="35"/>
        <v>38</v>
      </c>
      <c r="AS28" s="387">
        <f t="shared" si="35"/>
        <v>57</v>
      </c>
      <c r="AT28" s="387">
        <f t="shared" si="35"/>
        <v>0</v>
      </c>
      <c r="AU28" s="387"/>
      <c r="AV28" s="387">
        <f t="shared" si="35"/>
        <v>0</v>
      </c>
      <c r="AW28" s="387">
        <f t="shared" si="35"/>
        <v>45</v>
      </c>
      <c r="AX28" s="387">
        <f t="shared" si="35"/>
        <v>175</v>
      </c>
      <c r="AY28" s="387">
        <f t="shared" si="35"/>
        <v>85</v>
      </c>
      <c r="AZ28" s="387">
        <f t="shared" si="35"/>
        <v>34</v>
      </c>
      <c r="BA28" s="387">
        <f t="shared" si="35"/>
        <v>0</v>
      </c>
      <c r="BB28" s="387"/>
      <c r="BC28" s="387">
        <f t="shared" si="35"/>
        <v>0</v>
      </c>
      <c r="BD28" s="387">
        <f t="shared" si="35"/>
        <v>56</v>
      </c>
      <c r="BE28" s="387">
        <f t="shared" si="35"/>
        <v>76</v>
      </c>
      <c r="BF28" s="387">
        <f t="shared" si="35"/>
        <v>24</v>
      </c>
      <c r="BG28" s="387">
        <f t="shared" si="35"/>
        <v>24</v>
      </c>
      <c r="BH28" s="387">
        <f t="shared" si="35"/>
        <v>0</v>
      </c>
      <c r="BI28" s="387"/>
      <c r="BJ28" s="387">
        <f t="shared" si="35"/>
        <v>0</v>
      </c>
      <c r="BK28" s="387">
        <f t="shared" si="35"/>
        <v>28</v>
      </c>
      <c r="BL28" s="387">
        <f aca="true" t="shared" si="36" ref="BL28:CL28">SUM(BL29:BL32)</f>
        <v>50</v>
      </c>
      <c r="BM28" s="387">
        <f t="shared" si="36"/>
        <v>16</v>
      </c>
      <c r="BN28" s="387">
        <f t="shared" si="36"/>
        <v>16</v>
      </c>
      <c r="BO28" s="387">
        <f t="shared" si="36"/>
        <v>0</v>
      </c>
      <c r="BP28" s="387"/>
      <c r="BQ28" s="387">
        <f t="shared" si="36"/>
        <v>0</v>
      </c>
      <c r="BR28" s="387">
        <f t="shared" si="36"/>
        <v>18</v>
      </c>
      <c r="BS28" s="387">
        <f t="shared" si="36"/>
        <v>108</v>
      </c>
      <c r="BT28" s="387">
        <f t="shared" si="36"/>
        <v>24</v>
      </c>
      <c r="BU28" s="387">
        <f t="shared" si="36"/>
        <v>48</v>
      </c>
      <c r="BV28" s="387">
        <f t="shared" si="36"/>
        <v>0</v>
      </c>
      <c r="BW28" s="387"/>
      <c r="BX28" s="387">
        <f t="shared" si="36"/>
        <v>0</v>
      </c>
      <c r="BY28" s="387">
        <f t="shared" si="36"/>
        <v>36</v>
      </c>
      <c r="BZ28" s="387">
        <f t="shared" si="36"/>
        <v>0</v>
      </c>
      <c r="CA28" s="387"/>
      <c r="CB28" s="387">
        <f t="shared" si="36"/>
        <v>0</v>
      </c>
      <c r="CC28" s="387">
        <f t="shared" si="36"/>
        <v>0</v>
      </c>
      <c r="CD28" s="387">
        <f t="shared" si="36"/>
        <v>0</v>
      </c>
      <c r="CE28" s="387">
        <f t="shared" si="36"/>
        <v>0</v>
      </c>
      <c r="CF28" s="387">
        <f t="shared" si="36"/>
        <v>0</v>
      </c>
      <c r="CG28" s="387">
        <f t="shared" si="36"/>
        <v>0</v>
      </c>
      <c r="CH28" s="387">
        <f t="shared" si="36"/>
        <v>0</v>
      </c>
      <c r="CI28" s="387">
        <f t="shared" si="36"/>
        <v>0</v>
      </c>
      <c r="CJ28" s="387">
        <f t="shared" si="36"/>
        <v>0</v>
      </c>
      <c r="CK28" s="387">
        <f t="shared" si="36"/>
        <v>0</v>
      </c>
      <c r="CL28" s="387">
        <f t="shared" si="36"/>
        <v>0</v>
      </c>
      <c r="CM28" s="387">
        <f>SUM(CM29:CM32)</f>
        <v>0</v>
      </c>
      <c r="CN28" s="387">
        <f>SUM(CN29:CN32)</f>
        <v>0</v>
      </c>
      <c r="CO28" s="387">
        <f>SUM(CO29:CO32)</f>
        <v>0</v>
      </c>
      <c r="CP28" s="389"/>
      <c r="CQ28" s="393"/>
      <c r="CR28" s="428"/>
      <c r="CS28" s="435">
        <f>SUM(N28-L28)</f>
        <v>69</v>
      </c>
    </row>
    <row r="29" spans="1:98" s="487" customFormat="1" ht="27.75" customHeight="1">
      <c r="A29" s="347" t="s">
        <v>430</v>
      </c>
      <c r="B29" s="352" t="s">
        <v>126</v>
      </c>
      <c r="C29" s="352"/>
      <c r="D29" s="353"/>
      <c r="E29" s="353" t="s">
        <v>39</v>
      </c>
      <c r="F29" s="353"/>
      <c r="G29" s="353"/>
      <c r="H29" s="353"/>
      <c r="I29" s="353"/>
      <c r="J29" s="450"/>
      <c r="K29" s="450"/>
      <c r="L29" s="358"/>
      <c r="M29" s="358">
        <v>48</v>
      </c>
      <c r="N29" s="356">
        <f>O29+SUM(U29)</f>
        <v>63</v>
      </c>
      <c r="O29" s="356">
        <f>SUM(P29:R29)</f>
        <v>51</v>
      </c>
      <c r="P29" s="356">
        <f aca="true" t="shared" si="37" ref="P29:U30">W29+AD29+AK29+AR29+AY29+BF29+BM29+BT29+CB29+CJ29</f>
        <v>51</v>
      </c>
      <c r="Q29" s="356">
        <f t="shared" si="37"/>
        <v>0</v>
      </c>
      <c r="R29" s="356">
        <f t="shared" si="37"/>
        <v>0</v>
      </c>
      <c r="S29" s="356">
        <f t="shared" si="37"/>
        <v>0</v>
      </c>
      <c r="T29" s="356">
        <f t="shared" si="37"/>
        <v>0</v>
      </c>
      <c r="U29" s="356">
        <f t="shared" si="37"/>
        <v>12</v>
      </c>
      <c r="V29" s="357">
        <f>SUM(W29:AB29)</f>
        <v>0</v>
      </c>
      <c r="W29" s="358"/>
      <c r="X29" s="358"/>
      <c r="Y29" s="358"/>
      <c r="Z29" s="358"/>
      <c r="AA29" s="358"/>
      <c r="AB29" s="358"/>
      <c r="AC29" s="357">
        <f>SUM(AD29:AI29)</f>
        <v>0</v>
      </c>
      <c r="AD29" s="358"/>
      <c r="AE29" s="358"/>
      <c r="AF29" s="358"/>
      <c r="AG29" s="358"/>
      <c r="AH29" s="358"/>
      <c r="AI29" s="358"/>
      <c r="AJ29" s="357">
        <f>SUM(AK29:AP29)</f>
        <v>0</v>
      </c>
      <c r="AK29" s="358"/>
      <c r="AL29" s="358"/>
      <c r="AM29" s="358"/>
      <c r="AN29" s="358"/>
      <c r="AO29" s="358"/>
      <c r="AP29" s="358"/>
      <c r="AQ29" s="357">
        <f>SUM(AR29:AW29)</f>
        <v>0</v>
      </c>
      <c r="AR29" s="358"/>
      <c r="AS29" s="358"/>
      <c r="AT29" s="358"/>
      <c r="AU29" s="358"/>
      <c r="AV29" s="358"/>
      <c r="AW29" s="358"/>
      <c r="AX29" s="357">
        <f>SUM(AY29:BD29)</f>
        <v>63</v>
      </c>
      <c r="AY29" s="358">
        <v>51</v>
      </c>
      <c r="AZ29" s="358"/>
      <c r="BA29" s="358"/>
      <c r="BB29" s="358"/>
      <c r="BC29" s="358"/>
      <c r="BD29" s="358">
        <v>12</v>
      </c>
      <c r="BE29" s="357">
        <f>SUM(BF29:BK29)</f>
        <v>0</v>
      </c>
      <c r="BF29" s="358"/>
      <c r="BG29" s="358"/>
      <c r="BH29" s="358"/>
      <c r="BI29" s="358"/>
      <c r="BJ29" s="358"/>
      <c r="BK29" s="358"/>
      <c r="BL29" s="357">
        <f>SUM(BM29:BR29)</f>
        <v>0</v>
      </c>
      <c r="BM29" s="358"/>
      <c r="BN29" s="358"/>
      <c r="BO29" s="358"/>
      <c r="BP29" s="358"/>
      <c r="BQ29" s="358"/>
      <c r="BR29" s="358"/>
      <c r="BS29" s="357">
        <f>SUM(BT29:BY29)</f>
        <v>0</v>
      </c>
      <c r="BT29" s="358"/>
      <c r="BU29" s="358"/>
      <c r="BV29" s="358"/>
      <c r="BW29" s="358"/>
      <c r="BX29" s="358"/>
      <c r="BY29" s="358"/>
      <c r="BZ29" s="357">
        <f>SUM(CA29:CG29)</f>
        <v>0</v>
      </c>
      <c r="CA29" s="358"/>
      <c r="CB29" s="358"/>
      <c r="CC29" s="358"/>
      <c r="CD29" s="358"/>
      <c r="CE29" s="358"/>
      <c r="CF29" s="358"/>
      <c r="CG29" s="358"/>
      <c r="CH29" s="357">
        <f>SUM(CI29:CO29)</f>
        <v>0</v>
      </c>
      <c r="CI29" s="358"/>
      <c r="CJ29" s="358"/>
      <c r="CK29" s="358"/>
      <c r="CL29" s="358"/>
      <c r="CM29" s="358"/>
      <c r="CN29" s="358"/>
      <c r="CO29" s="358"/>
      <c r="CP29" s="353" t="s">
        <v>409</v>
      </c>
      <c r="CQ29" s="372" t="s">
        <v>290</v>
      </c>
      <c r="CR29" s="379"/>
      <c r="CS29" s="368"/>
      <c r="CT29" s="368"/>
    </row>
    <row r="30" spans="1:98" s="487" customFormat="1" ht="25.5" customHeight="1">
      <c r="A30" s="347" t="s">
        <v>431</v>
      </c>
      <c r="B30" s="352" t="s">
        <v>95</v>
      </c>
      <c r="C30" s="352"/>
      <c r="D30" s="353" t="s">
        <v>28</v>
      </c>
      <c r="E30" s="353"/>
      <c r="F30" s="353"/>
      <c r="G30" s="353"/>
      <c r="H30" s="353"/>
      <c r="I30" s="353"/>
      <c r="J30" s="450"/>
      <c r="K30" s="450"/>
      <c r="L30" s="358"/>
      <c r="M30" s="358">
        <v>48</v>
      </c>
      <c r="N30" s="356">
        <f>O30+SUM(U30)</f>
        <v>62</v>
      </c>
      <c r="O30" s="356">
        <f>SUM(P30:R30)</f>
        <v>48</v>
      </c>
      <c r="P30" s="356">
        <f t="shared" si="37"/>
        <v>48</v>
      </c>
      <c r="Q30" s="356">
        <f t="shared" si="37"/>
        <v>0</v>
      </c>
      <c r="R30" s="356">
        <f t="shared" si="37"/>
        <v>0</v>
      </c>
      <c r="S30" s="356">
        <f t="shared" si="37"/>
        <v>0</v>
      </c>
      <c r="T30" s="356">
        <f t="shared" si="37"/>
        <v>0</v>
      </c>
      <c r="U30" s="356">
        <f t="shared" si="37"/>
        <v>14</v>
      </c>
      <c r="V30" s="357">
        <f>SUM(W30:AB30)</f>
        <v>0</v>
      </c>
      <c r="W30" s="358"/>
      <c r="X30" s="358"/>
      <c r="Y30" s="358"/>
      <c r="Z30" s="358"/>
      <c r="AA30" s="358"/>
      <c r="AB30" s="358"/>
      <c r="AC30" s="357">
        <f>SUM(AD30:AI30)</f>
        <v>0</v>
      </c>
      <c r="AD30" s="358"/>
      <c r="AE30" s="358"/>
      <c r="AF30" s="358"/>
      <c r="AG30" s="358"/>
      <c r="AH30" s="358"/>
      <c r="AI30" s="358"/>
      <c r="AJ30" s="357">
        <f>SUM(AK30:AP30)</f>
        <v>62</v>
      </c>
      <c r="AK30" s="358">
        <v>48</v>
      </c>
      <c r="AL30" s="358"/>
      <c r="AM30" s="358"/>
      <c r="AN30" s="358"/>
      <c r="AO30" s="358"/>
      <c r="AP30" s="358">
        <v>14</v>
      </c>
      <c r="AQ30" s="357">
        <f>SUM(AR30:AW30)</f>
        <v>0</v>
      </c>
      <c r="AR30" s="358"/>
      <c r="AS30" s="358"/>
      <c r="AT30" s="358"/>
      <c r="AU30" s="358"/>
      <c r="AV30" s="358"/>
      <c r="AW30" s="358"/>
      <c r="AX30" s="357">
        <f>SUM(AY30:BD30)</f>
        <v>0</v>
      </c>
      <c r="AY30" s="358"/>
      <c r="AZ30" s="358"/>
      <c r="BA30" s="358"/>
      <c r="BB30" s="358"/>
      <c r="BC30" s="358"/>
      <c r="BD30" s="358"/>
      <c r="BE30" s="357">
        <f>SUM(BF30:BK30)</f>
        <v>0</v>
      </c>
      <c r="BF30" s="358"/>
      <c r="BG30" s="358"/>
      <c r="BH30" s="358"/>
      <c r="BI30" s="358"/>
      <c r="BJ30" s="358"/>
      <c r="BK30" s="358"/>
      <c r="BL30" s="357">
        <f>SUM(BM30:BR30)</f>
        <v>0</v>
      </c>
      <c r="BM30" s="358"/>
      <c r="BN30" s="358"/>
      <c r="BO30" s="358"/>
      <c r="BP30" s="358"/>
      <c r="BQ30" s="358"/>
      <c r="BR30" s="358"/>
      <c r="BS30" s="357">
        <f>SUM(BT30:BY30)</f>
        <v>0</v>
      </c>
      <c r="BT30" s="358"/>
      <c r="BU30" s="358"/>
      <c r="BV30" s="358"/>
      <c r="BW30" s="358"/>
      <c r="BX30" s="358"/>
      <c r="BY30" s="358"/>
      <c r="BZ30" s="357">
        <f>SUM(CA30:CG30)</f>
        <v>0</v>
      </c>
      <c r="CA30" s="358"/>
      <c r="CB30" s="358"/>
      <c r="CC30" s="358"/>
      <c r="CD30" s="358"/>
      <c r="CE30" s="358"/>
      <c r="CF30" s="358"/>
      <c r="CG30" s="358"/>
      <c r="CH30" s="357">
        <f>SUM(CI30:CO30)</f>
        <v>0</v>
      </c>
      <c r="CI30" s="358"/>
      <c r="CJ30" s="358"/>
      <c r="CK30" s="358"/>
      <c r="CL30" s="358"/>
      <c r="CM30" s="358"/>
      <c r="CN30" s="358"/>
      <c r="CO30" s="358"/>
      <c r="CP30" s="353" t="s">
        <v>409</v>
      </c>
      <c r="CQ30" s="372" t="s">
        <v>290</v>
      </c>
      <c r="CR30" s="379"/>
      <c r="CS30" s="368"/>
      <c r="CT30" s="368"/>
    </row>
    <row r="31" spans="1:96" s="368" customFormat="1" ht="35.25" customHeight="1">
      <c r="A31" s="347" t="s">
        <v>432</v>
      </c>
      <c r="B31" s="352" t="s">
        <v>96</v>
      </c>
      <c r="C31" s="352"/>
      <c r="D31" s="353"/>
      <c r="E31" s="353" t="s">
        <v>424</v>
      </c>
      <c r="F31" s="353"/>
      <c r="G31" s="353"/>
      <c r="H31" s="353"/>
      <c r="I31" s="256" t="s">
        <v>533</v>
      </c>
      <c r="J31" s="816"/>
      <c r="K31" s="816"/>
      <c r="L31" s="358"/>
      <c r="M31" s="358">
        <v>168</v>
      </c>
      <c r="N31" s="356">
        <f>O31+SUM(U31)</f>
        <v>256</v>
      </c>
      <c r="O31" s="356">
        <f>SUM(P31:R31)</f>
        <v>211</v>
      </c>
      <c r="P31" s="356">
        <f aca="true" t="shared" si="38" ref="P31:S32">W31+AD31+AK31+AR31+AY31+BF31+BM31+BT31+CB31+CJ31</f>
        <v>0</v>
      </c>
      <c r="Q31" s="356">
        <f t="shared" si="38"/>
        <v>211</v>
      </c>
      <c r="R31" s="356">
        <f t="shared" si="38"/>
        <v>0</v>
      </c>
      <c r="S31" s="356">
        <f t="shared" si="38"/>
        <v>0</v>
      </c>
      <c r="T31" s="356">
        <f>AA31+AH31+AO31+AV31+BC31+BJ31+BQ31+BX31+CE31+CM31</f>
        <v>0</v>
      </c>
      <c r="U31" s="356">
        <f>AB31+AI31+AP31+AW31+BD31+BK31+BR31+BY31+CG31+CO31</f>
        <v>45</v>
      </c>
      <c r="V31" s="357">
        <f>SUM(W31:AB31)</f>
        <v>0</v>
      </c>
      <c r="W31" s="358"/>
      <c r="X31" s="358"/>
      <c r="Y31" s="358"/>
      <c r="Z31" s="358"/>
      <c r="AA31" s="358"/>
      <c r="AB31" s="358"/>
      <c r="AC31" s="357">
        <f>SUM(AD31:AI31)</f>
        <v>0</v>
      </c>
      <c r="AD31" s="358"/>
      <c r="AE31" s="358"/>
      <c r="AF31" s="358"/>
      <c r="AG31" s="358"/>
      <c r="AH31" s="358"/>
      <c r="AI31" s="358"/>
      <c r="AJ31" s="357">
        <f>SUM(AK31:AP31)</f>
        <v>42</v>
      </c>
      <c r="AK31" s="358"/>
      <c r="AL31" s="358">
        <v>32</v>
      </c>
      <c r="AM31" s="358"/>
      <c r="AN31" s="358"/>
      <c r="AO31" s="358"/>
      <c r="AP31" s="358">
        <v>10</v>
      </c>
      <c r="AQ31" s="357">
        <f>SUM(AR31:AW31)</f>
        <v>64</v>
      </c>
      <c r="AR31" s="358"/>
      <c r="AS31" s="354">
        <v>57</v>
      </c>
      <c r="AT31" s="358"/>
      <c r="AU31" s="358"/>
      <c r="AV31" s="358"/>
      <c r="AW31" s="354">
        <v>7</v>
      </c>
      <c r="AX31" s="357">
        <f>SUM(AY31:BD31)</f>
        <v>44</v>
      </c>
      <c r="AY31" s="358"/>
      <c r="AZ31" s="358">
        <v>34</v>
      </c>
      <c r="BA31" s="358"/>
      <c r="BB31" s="358"/>
      <c r="BC31" s="358"/>
      <c r="BD31" s="358">
        <v>10</v>
      </c>
      <c r="BE31" s="357">
        <f>SUM(BF31:BK31)</f>
        <v>28</v>
      </c>
      <c r="BF31" s="358"/>
      <c r="BG31" s="358">
        <v>24</v>
      </c>
      <c r="BH31" s="358"/>
      <c r="BI31" s="358"/>
      <c r="BJ31" s="358"/>
      <c r="BK31" s="358">
        <v>4</v>
      </c>
      <c r="BL31" s="357">
        <f>SUM(BM31:BR31)</f>
        <v>18</v>
      </c>
      <c r="BM31" s="358"/>
      <c r="BN31" s="358">
        <v>16</v>
      </c>
      <c r="BO31" s="358"/>
      <c r="BP31" s="358"/>
      <c r="BQ31" s="358"/>
      <c r="BR31" s="358">
        <v>2</v>
      </c>
      <c r="BS31" s="357">
        <f>SUM(BT31:BY31)</f>
        <v>60</v>
      </c>
      <c r="BT31" s="358"/>
      <c r="BU31" s="354">
        <v>48</v>
      </c>
      <c r="BV31" s="358"/>
      <c r="BW31" s="358"/>
      <c r="BX31" s="358"/>
      <c r="BY31" s="354">
        <v>12</v>
      </c>
      <c r="BZ31" s="357">
        <f>SUM(CA31:CG31)</f>
        <v>0</v>
      </c>
      <c r="CA31" s="358"/>
      <c r="CB31" s="358"/>
      <c r="CC31" s="358"/>
      <c r="CD31" s="358"/>
      <c r="CE31" s="358"/>
      <c r="CF31" s="358"/>
      <c r="CG31" s="358"/>
      <c r="CH31" s="357">
        <f>SUM(CI31:CO31)</f>
        <v>0</v>
      </c>
      <c r="CI31" s="358"/>
      <c r="CJ31" s="358"/>
      <c r="CK31" s="358"/>
      <c r="CL31" s="358"/>
      <c r="CM31" s="358"/>
      <c r="CN31" s="358"/>
      <c r="CO31" s="358"/>
      <c r="CP31" s="353" t="s">
        <v>409</v>
      </c>
      <c r="CQ31" s="353" t="s">
        <v>294</v>
      </c>
      <c r="CR31" s="379"/>
    </row>
    <row r="32" spans="1:98" s="487" customFormat="1" ht="37.5" customHeight="1">
      <c r="A32" s="347" t="s">
        <v>433</v>
      </c>
      <c r="B32" s="352" t="s">
        <v>5</v>
      </c>
      <c r="C32" s="352"/>
      <c r="D32" s="353"/>
      <c r="E32" s="353"/>
      <c r="F32" s="353" t="s">
        <v>460</v>
      </c>
      <c r="G32" s="353"/>
      <c r="H32" s="353"/>
      <c r="I32" s="353"/>
      <c r="J32" s="450"/>
      <c r="K32" s="450"/>
      <c r="L32" s="358">
        <v>336</v>
      </c>
      <c r="M32" s="358">
        <v>168</v>
      </c>
      <c r="N32" s="356">
        <f>O32+SUM(U32)</f>
        <v>336</v>
      </c>
      <c r="O32" s="356">
        <f>SUM(P32:R32)</f>
        <v>168</v>
      </c>
      <c r="P32" s="356">
        <f t="shared" si="38"/>
        <v>168</v>
      </c>
      <c r="Q32" s="356">
        <f t="shared" si="38"/>
        <v>0</v>
      </c>
      <c r="R32" s="356">
        <f t="shared" si="38"/>
        <v>0</v>
      </c>
      <c r="S32" s="356">
        <f t="shared" si="38"/>
        <v>0</v>
      </c>
      <c r="T32" s="356">
        <f>AA32+AH32+AO32+AV32+BC32+BJ32+BQ32+BX32+CF32+CN32</f>
        <v>0</v>
      </c>
      <c r="U32" s="356">
        <f>AB32+AI32+AP32+AW32+BD32+BK32+BR32+BY32+CG32+CO32</f>
        <v>168</v>
      </c>
      <c r="V32" s="357">
        <f>SUM(W32:AB32)</f>
        <v>0</v>
      </c>
      <c r="W32" s="358"/>
      <c r="X32" s="358"/>
      <c r="Y32" s="358"/>
      <c r="Z32" s="358"/>
      <c r="AA32" s="358"/>
      <c r="AB32" s="358"/>
      <c r="AC32" s="357">
        <f>SUM(AD32:AI32)</f>
        <v>0</v>
      </c>
      <c r="AD32" s="358"/>
      <c r="AE32" s="358"/>
      <c r="AF32" s="358"/>
      <c r="AG32" s="358"/>
      <c r="AH32" s="358"/>
      <c r="AI32" s="358"/>
      <c r="AJ32" s="357">
        <f>SUM(AK32:AP32)</f>
        <v>64</v>
      </c>
      <c r="AK32" s="358">
        <v>32</v>
      </c>
      <c r="AL32" s="358"/>
      <c r="AM32" s="358"/>
      <c r="AN32" s="358"/>
      <c r="AO32" s="358"/>
      <c r="AP32" s="358">
        <v>32</v>
      </c>
      <c r="AQ32" s="357">
        <f>SUM(AR32:AW32)</f>
        <v>76</v>
      </c>
      <c r="AR32" s="358">
        <v>38</v>
      </c>
      <c r="AS32" s="358"/>
      <c r="AT32" s="358"/>
      <c r="AU32" s="358"/>
      <c r="AV32" s="358"/>
      <c r="AW32" s="358">
        <v>38</v>
      </c>
      <c r="AX32" s="357">
        <f>SUM(AY32:BD32)</f>
        <v>68</v>
      </c>
      <c r="AY32" s="358">
        <v>34</v>
      </c>
      <c r="AZ32" s="358"/>
      <c r="BA32" s="358"/>
      <c r="BB32" s="358"/>
      <c r="BC32" s="358"/>
      <c r="BD32" s="358">
        <v>34</v>
      </c>
      <c r="BE32" s="357">
        <f>SUM(BF32:BK32)</f>
        <v>48</v>
      </c>
      <c r="BF32" s="358">
        <v>24</v>
      </c>
      <c r="BG32" s="358"/>
      <c r="BH32" s="358"/>
      <c r="BI32" s="358"/>
      <c r="BJ32" s="358"/>
      <c r="BK32" s="358">
        <v>24</v>
      </c>
      <c r="BL32" s="357">
        <f>SUM(BM32:BR32)</f>
        <v>32</v>
      </c>
      <c r="BM32" s="358">
        <v>16</v>
      </c>
      <c r="BN32" s="358"/>
      <c r="BO32" s="358"/>
      <c r="BP32" s="358"/>
      <c r="BQ32" s="358"/>
      <c r="BR32" s="358">
        <v>16</v>
      </c>
      <c r="BS32" s="357">
        <f>SUM(BT32:BY32)</f>
        <v>48</v>
      </c>
      <c r="BT32" s="358">
        <v>24</v>
      </c>
      <c r="BU32" s="358"/>
      <c r="BV32" s="358"/>
      <c r="BW32" s="358"/>
      <c r="BX32" s="358"/>
      <c r="BY32" s="358">
        <v>24</v>
      </c>
      <c r="BZ32" s="357">
        <f>SUM(CA32:CG32)</f>
        <v>0</v>
      </c>
      <c r="CA32" s="358"/>
      <c r="CB32" s="358"/>
      <c r="CC32" s="358"/>
      <c r="CD32" s="358"/>
      <c r="CE32" s="358"/>
      <c r="CF32" s="358"/>
      <c r="CG32" s="358"/>
      <c r="CH32" s="357">
        <f>SUM(CI32:CO32)</f>
        <v>0</v>
      </c>
      <c r="CI32" s="358"/>
      <c r="CJ32" s="358"/>
      <c r="CK32" s="358"/>
      <c r="CL32" s="358"/>
      <c r="CM32" s="358"/>
      <c r="CN32" s="358"/>
      <c r="CO32" s="358"/>
      <c r="CP32" s="353" t="s">
        <v>408</v>
      </c>
      <c r="CQ32" s="353" t="s">
        <v>295</v>
      </c>
      <c r="CR32" s="379"/>
      <c r="CS32" s="368"/>
      <c r="CT32" s="368"/>
    </row>
    <row r="33" spans="1:97" s="380" customFormat="1" ht="25.5" customHeight="1">
      <c r="A33" s="489" t="s">
        <v>128</v>
      </c>
      <c r="B33" s="559" t="s">
        <v>194</v>
      </c>
      <c r="C33" s="560"/>
      <c r="D33" s="560"/>
      <c r="E33" s="560"/>
      <c r="F33" s="560"/>
      <c r="G33" s="560"/>
      <c r="H33" s="560"/>
      <c r="I33" s="561"/>
      <c r="J33" s="449">
        <f>K33*O33</f>
        <v>240</v>
      </c>
      <c r="K33" s="449">
        <f>L33/M33</f>
        <v>1.5</v>
      </c>
      <c r="L33" s="387">
        <f>Нормы!D11</f>
        <v>222</v>
      </c>
      <c r="M33" s="387">
        <f>Нормы!E11</f>
        <v>148</v>
      </c>
      <c r="N33" s="387">
        <f aca="true" t="shared" si="39" ref="N33:AL33">SUM(N34:N35)</f>
        <v>240</v>
      </c>
      <c r="O33" s="387">
        <f t="shared" si="39"/>
        <v>160</v>
      </c>
      <c r="P33" s="387">
        <f t="shared" si="39"/>
        <v>128</v>
      </c>
      <c r="Q33" s="387">
        <f t="shared" si="39"/>
        <v>32</v>
      </c>
      <c r="R33" s="387">
        <f t="shared" si="39"/>
        <v>0</v>
      </c>
      <c r="S33" s="387"/>
      <c r="T33" s="387">
        <f t="shared" si="39"/>
        <v>0</v>
      </c>
      <c r="U33" s="387">
        <f t="shared" si="39"/>
        <v>80</v>
      </c>
      <c r="V33" s="387">
        <f t="shared" si="39"/>
        <v>0</v>
      </c>
      <c r="W33" s="387">
        <f t="shared" si="39"/>
        <v>0</v>
      </c>
      <c r="X33" s="387">
        <f t="shared" si="39"/>
        <v>0</v>
      </c>
      <c r="Y33" s="387">
        <f t="shared" si="39"/>
        <v>0</v>
      </c>
      <c r="Z33" s="387"/>
      <c r="AA33" s="387">
        <f t="shared" si="39"/>
        <v>0</v>
      </c>
      <c r="AB33" s="387">
        <f t="shared" si="39"/>
        <v>0</v>
      </c>
      <c r="AC33" s="387">
        <f t="shared" si="39"/>
        <v>0</v>
      </c>
      <c r="AD33" s="387">
        <f t="shared" si="39"/>
        <v>0</v>
      </c>
      <c r="AE33" s="387">
        <f t="shared" si="39"/>
        <v>0</v>
      </c>
      <c r="AF33" s="387">
        <f t="shared" si="39"/>
        <v>0</v>
      </c>
      <c r="AG33" s="387"/>
      <c r="AH33" s="387">
        <f t="shared" si="39"/>
        <v>0</v>
      </c>
      <c r="AI33" s="387">
        <f t="shared" si="39"/>
        <v>0</v>
      </c>
      <c r="AJ33" s="387">
        <f t="shared" si="39"/>
        <v>240</v>
      </c>
      <c r="AK33" s="387">
        <f t="shared" si="39"/>
        <v>128</v>
      </c>
      <c r="AL33" s="387">
        <f t="shared" si="39"/>
        <v>32</v>
      </c>
      <c r="AM33" s="387">
        <f aca="true" t="shared" si="40" ref="AM33:BK33">SUM(AM34:AM35)</f>
        <v>0</v>
      </c>
      <c r="AN33" s="387"/>
      <c r="AO33" s="387">
        <f t="shared" si="40"/>
        <v>0</v>
      </c>
      <c r="AP33" s="387">
        <f t="shared" si="40"/>
        <v>80</v>
      </c>
      <c r="AQ33" s="387">
        <f t="shared" si="40"/>
        <v>0</v>
      </c>
      <c r="AR33" s="387">
        <f t="shared" si="40"/>
        <v>0</v>
      </c>
      <c r="AS33" s="387">
        <f t="shared" si="40"/>
        <v>0</v>
      </c>
      <c r="AT33" s="387">
        <f t="shared" si="40"/>
        <v>0</v>
      </c>
      <c r="AU33" s="387"/>
      <c r="AV33" s="387">
        <f t="shared" si="40"/>
        <v>0</v>
      </c>
      <c r="AW33" s="387">
        <f t="shared" si="40"/>
        <v>0</v>
      </c>
      <c r="AX33" s="387">
        <f t="shared" si="40"/>
        <v>0</v>
      </c>
      <c r="AY33" s="387">
        <f t="shared" si="40"/>
        <v>0</v>
      </c>
      <c r="AZ33" s="387">
        <f t="shared" si="40"/>
        <v>0</v>
      </c>
      <c r="BA33" s="387">
        <f t="shared" si="40"/>
        <v>0</v>
      </c>
      <c r="BB33" s="387"/>
      <c r="BC33" s="387">
        <f t="shared" si="40"/>
        <v>0</v>
      </c>
      <c r="BD33" s="387">
        <f t="shared" si="40"/>
        <v>0</v>
      </c>
      <c r="BE33" s="387">
        <f t="shared" si="40"/>
        <v>0</v>
      </c>
      <c r="BF33" s="387">
        <f t="shared" si="40"/>
        <v>0</v>
      </c>
      <c r="BG33" s="387">
        <f t="shared" si="40"/>
        <v>0</v>
      </c>
      <c r="BH33" s="387">
        <f t="shared" si="40"/>
        <v>0</v>
      </c>
      <c r="BI33" s="387"/>
      <c r="BJ33" s="387">
        <f t="shared" si="40"/>
        <v>0</v>
      </c>
      <c r="BK33" s="387">
        <f t="shared" si="40"/>
        <v>0</v>
      </c>
      <c r="BL33" s="387">
        <f aca="true" t="shared" si="41" ref="BL33:CL33">SUM(BL34:BL35)</f>
        <v>0</v>
      </c>
      <c r="BM33" s="387">
        <f t="shared" si="41"/>
        <v>0</v>
      </c>
      <c r="BN33" s="387">
        <f t="shared" si="41"/>
        <v>0</v>
      </c>
      <c r="BO33" s="387">
        <f t="shared" si="41"/>
        <v>0</v>
      </c>
      <c r="BP33" s="387"/>
      <c r="BQ33" s="387">
        <f t="shared" si="41"/>
        <v>0</v>
      </c>
      <c r="BR33" s="387">
        <f t="shared" si="41"/>
        <v>0</v>
      </c>
      <c r="BS33" s="387">
        <f t="shared" si="41"/>
        <v>0</v>
      </c>
      <c r="BT33" s="387">
        <f t="shared" si="41"/>
        <v>0</v>
      </c>
      <c r="BU33" s="387">
        <f t="shared" si="41"/>
        <v>0</v>
      </c>
      <c r="BV33" s="387">
        <f t="shared" si="41"/>
        <v>0</v>
      </c>
      <c r="BW33" s="387"/>
      <c r="BX33" s="387">
        <f t="shared" si="41"/>
        <v>0</v>
      </c>
      <c r="BY33" s="387">
        <f t="shared" si="41"/>
        <v>0</v>
      </c>
      <c r="BZ33" s="387">
        <f t="shared" si="41"/>
        <v>0</v>
      </c>
      <c r="CA33" s="387"/>
      <c r="CB33" s="387">
        <f t="shared" si="41"/>
        <v>0</v>
      </c>
      <c r="CC33" s="387">
        <f t="shared" si="41"/>
        <v>0</v>
      </c>
      <c r="CD33" s="387">
        <f t="shared" si="41"/>
        <v>0</v>
      </c>
      <c r="CE33" s="387">
        <f t="shared" si="41"/>
        <v>0</v>
      </c>
      <c r="CF33" s="387">
        <f t="shared" si="41"/>
        <v>0</v>
      </c>
      <c r="CG33" s="387">
        <f t="shared" si="41"/>
        <v>0</v>
      </c>
      <c r="CH33" s="387">
        <f t="shared" si="41"/>
        <v>0</v>
      </c>
      <c r="CI33" s="387">
        <f t="shared" si="41"/>
        <v>0</v>
      </c>
      <c r="CJ33" s="387">
        <f t="shared" si="41"/>
        <v>0</v>
      </c>
      <c r="CK33" s="387">
        <f t="shared" si="41"/>
        <v>0</v>
      </c>
      <c r="CL33" s="387">
        <f t="shared" si="41"/>
        <v>0</v>
      </c>
      <c r="CM33" s="387">
        <f>SUM(CM34:CM35)</f>
        <v>0</v>
      </c>
      <c r="CN33" s="387">
        <f>SUM(CN34:CN35)</f>
        <v>0</v>
      </c>
      <c r="CO33" s="387">
        <f>SUM(CO34:CO35)</f>
        <v>0</v>
      </c>
      <c r="CP33" s="389"/>
      <c r="CQ33" s="393"/>
      <c r="CR33" s="428"/>
      <c r="CS33" s="435">
        <f>SUM(N33-L33)</f>
        <v>18</v>
      </c>
    </row>
    <row r="34" spans="1:98" s="487" customFormat="1" ht="25.5" customHeight="1">
      <c r="A34" s="347" t="s">
        <v>434</v>
      </c>
      <c r="B34" s="351" t="s">
        <v>97</v>
      </c>
      <c r="C34" s="352"/>
      <c r="D34" s="353" t="s">
        <v>28</v>
      </c>
      <c r="E34" s="353"/>
      <c r="F34" s="353"/>
      <c r="G34" s="353"/>
      <c r="H34" s="353"/>
      <c r="I34" s="353"/>
      <c r="J34" s="450"/>
      <c r="K34" s="450"/>
      <c r="L34" s="358"/>
      <c r="M34" s="358"/>
      <c r="N34" s="356">
        <f>O34+SUM(U34)</f>
        <v>144</v>
      </c>
      <c r="O34" s="356">
        <f>SUM(P34:R34)</f>
        <v>96</v>
      </c>
      <c r="P34" s="356">
        <f aca="true" t="shared" si="42" ref="P34:U35">W34+AD34+AK34+AR34+AY34+BF34+BM34+BT34+CB34+CJ34</f>
        <v>96</v>
      </c>
      <c r="Q34" s="356">
        <f t="shared" si="42"/>
        <v>0</v>
      </c>
      <c r="R34" s="356">
        <f t="shared" si="42"/>
        <v>0</v>
      </c>
      <c r="S34" s="356">
        <f t="shared" si="42"/>
        <v>0</v>
      </c>
      <c r="T34" s="356">
        <f t="shared" si="42"/>
        <v>0</v>
      </c>
      <c r="U34" s="356">
        <f t="shared" si="42"/>
        <v>48</v>
      </c>
      <c r="V34" s="357">
        <f>SUM(W34:AB34)</f>
        <v>0</v>
      </c>
      <c r="W34" s="358"/>
      <c r="X34" s="358"/>
      <c r="Y34" s="358"/>
      <c r="Z34" s="358"/>
      <c r="AA34" s="358"/>
      <c r="AB34" s="358"/>
      <c r="AC34" s="357">
        <f>SUM(AD34:AI34)</f>
        <v>0</v>
      </c>
      <c r="AD34" s="358"/>
      <c r="AE34" s="358"/>
      <c r="AF34" s="358"/>
      <c r="AG34" s="358"/>
      <c r="AH34" s="358"/>
      <c r="AI34" s="358"/>
      <c r="AJ34" s="357">
        <f>SUM(AK34:AP34)</f>
        <v>144</v>
      </c>
      <c r="AK34" s="358">
        <v>96</v>
      </c>
      <c r="AL34" s="358"/>
      <c r="AM34" s="358"/>
      <c r="AN34" s="358"/>
      <c r="AO34" s="358"/>
      <c r="AP34" s="354">
        <v>48</v>
      </c>
      <c r="AQ34" s="357">
        <f>SUM(AR34:AW34)</f>
        <v>0</v>
      </c>
      <c r="AR34" s="358"/>
      <c r="AS34" s="358"/>
      <c r="AT34" s="358"/>
      <c r="AU34" s="358"/>
      <c r="AV34" s="358"/>
      <c r="AW34" s="358"/>
      <c r="AX34" s="357">
        <f>SUM(AY34:BD34)</f>
        <v>0</v>
      </c>
      <c r="AY34" s="358"/>
      <c r="AZ34" s="358"/>
      <c r="BA34" s="358"/>
      <c r="BB34" s="358"/>
      <c r="BC34" s="358"/>
      <c r="BD34" s="358"/>
      <c r="BE34" s="357">
        <f>SUM(BF34:BK34)</f>
        <v>0</v>
      </c>
      <c r="BF34" s="358"/>
      <c r="BG34" s="358"/>
      <c r="BH34" s="358"/>
      <c r="BI34" s="358"/>
      <c r="BJ34" s="358"/>
      <c r="BK34" s="358"/>
      <c r="BL34" s="357">
        <f>SUM(BM34:BR34)</f>
        <v>0</v>
      </c>
      <c r="BM34" s="358"/>
      <c r="BN34" s="358"/>
      <c r="BO34" s="358"/>
      <c r="BP34" s="358"/>
      <c r="BQ34" s="358"/>
      <c r="BR34" s="358"/>
      <c r="BS34" s="357">
        <f>SUM(BT34:BY34)</f>
        <v>0</v>
      </c>
      <c r="BT34" s="358"/>
      <c r="BU34" s="358"/>
      <c r="BV34" s="358"/>
      <c r="BW34" s="358"/>
      <c r="BX34" s="358"/>
      <c r="BY34" s="358"/>
      <c r="BZ34" s="357">
        <f>SUM(CA34:CG34)</f>
        <v>0</v>
      </c>
      <c r="CA34" s="358"/>
      <c r="CB34" s="358"/>
      <c r="CC34" s="358"/>
      <c r="CD34" s="358"/>
      <c r="CE34" s="358"/>
      <c r="CF34" s="358"/>
      <c r="CG34" s="358"/>
      <c r="CH34" s="357">
        <f>SUM(CI34:CO34)</f>
        <v>0</v>
      </c>
      <c r="CI34" s="358"/>
      <c r="CJ34" s="358"/>
      <c r="CK34" s="358"/>
      <c r="CL34" s="358"/>
      <c r="CM34" s="358"/>
      <c r="CN34" s="358"/>
      <c r="CO34" s="358"/>
      <c r="CP34" s="353" t="s">
        <v>410</v>
      </c>
      <c r="CQ34" s="372" t="s">
        <v>292</v>
      </c>
      <c r="CR34" s="379"/>
      <c r="CS34" s="368"/>
      <c r="CT34" s="368"/>
    </row>
    <row r="35" spans="1:98" s="487" customFormat="1" ht="36" customHeight="1">
      <c r="A35" s="347" t="s">
        <v>435</v>
      </c>
      <c r="B35" s="351" t="s">
        <v>98</v>
      </c>
      <c r="C35" s="352"/>
      <c r="D35" s="353"/>
      <c r="E35" s="353" t="s">
        <v>28</v>
      </c>
      <c r="F35" s="353"/>
      <c r="G35" s="353"/>
      <c r="H35" s="353"/>
      <c r="I35" s="353"/>
      <c r="J35" s="450"/>
      <c r="K35" s="450"/>
      <c r="L35" s="358"/>
      <c r="M35" s="358"/>
      <c r="N35" s="356">
        <f>O35+SUM(U35)</f>
        <v>96</v>
      </c>
      <c r="O35" s="356">
        <f>SUM(P35:R35)</f>
        <v>64</v>
      </c>
      <c r="P35" s="356">
        <f t="shared" si="42"/>
        <v>32</v>
      </c>
      <c r="Q35" s="356">
        <f t="shared" si="42"/>
        <v>32</v>
      </c>
      <c r="R35" s="356">
        <f t="shared" si="42"/>
        <v>0</v>
      </c>
      <c r="S35" s="356">
        <f t="shared" si="42"/>
        <v>0</v>
      </c>
      <c r="T35" s="356">
        <f t="shared" si="42"/>
        <v>0</v>
      </c>
      <c r="U35" s="356">
        <f t="shared" si="42"/>
        <v>32</v>
      </c>
      <c r="V35" s="357">
        <f>SUM(W35:AB35)</f>
        <v>0</v>
      </c>
      <c r="W35" s="358"/>
      <c r="X35" s="358"/>
      <c r="Y35" s="358"/>
      <c r="Z35" s="358"/>
      <c r="AA35" s="358"/>
      <c r="AB35" s="358"/>
      <c r="AC35" s="357">
        <f>SUM(AD35:AI35)</f>
        <v>0</v>
      </c>
      <c r="AD35" s="358"/>
      <c r="AE35" s="358"/>
      <c r="AF35" s="358"/>
      <c r="AG35" s="358"/>
      <c r="AH35" s="358"/>
      <c r="AI35" s="358"/>
      <c r="AJ35" s="357">
        <f>SUM(AK35:AP35)</f>
        <v>96</v>
      </c>
      <c r="AK35" s="354">
        <v>32</v>
      </c>
      <c r="AL35" s="354">
        <v>32</v>
      </c>
      <c r="AM35" s="358"/>
      <c r="AN35" s="358"/>
      <c r="AO35" s="358"/>
      <c r="AP35" s="358">
        <v>32</v>
      </c>
      <c r="AQ35" s="357">
        <f>SUM(AR35:AW35)</f>
        <v>0</v>
      </c>
      <c r="AR35" s="358"/>
      <c r="AS35" s="358"/>
      <c r="AT35" s="358"/>
      <c r="AU35" s="358"/>
      <c r="AV35" s="358"/>
      <c r="AW35" s="358"/>
      <c r="AX35" s="357">
        <f>SUM(AY35:BD35)</f>
        <v>0</v>
      </c>
      <c r="AY35" s="358"/>
      <c r="AZ35" s="358"/>
      <c r="BA35" s="358"/>
      <c r="BB35" s="358"/>
      <c r="BC35" s="358"/>
      <c r="BD35" s="358"/>
      <c r="BE35" s="357">
        <f>SUM(BF35:BK35)</f>
        <v>0</v>
      </c>
      <c r="BF35" s="358"/>
      <c r="BG35" s="358"/>
      <c r="BH35" s="358"/>
      <c r="BI35" s="358"/>
      <c r="BJ35" s="358"/>
      <c r="BK35" s="358"/>
      <c r="BL35" s="357">
        <f>SUM(BM35:BR35)</f>
        <v>0</v>
      </c>
      <c r="BM35" s="358"/>
      <c r="BN35" s="358"/>
      <c r="BO35" s="358"/>
      <c r="BP35" s="358"/>
      <c r="BQ35" s="358"/>
      <c r="BR35" s="358"/>
      <c r="BS35" s="357">
        <f>SUM(BT35:BY35)</f>
        <v>0</v>
      </c>
      <c r="BT35" s="358"/>
      <c r="BU35" s="358"/>
      <c r="BV35" s="358"/>
      <c r="BW35" s="358"/>
      <c r="BX35" s="358"/>
      <c r="BY35" s="358"/>
      <c r="BZ35" s="357">
        <f>SUM(CA35:CG35)</f>
        <v>0</v>
      </c>
      <c r="CA35" s="358"/>
      <c r="CB35" s="358"/>
      <c r="CC35" s="358"/>
      <c r="CD35" s="358"/>
      <c r="CE35" s="358"/>
      <c r="CF35" s="358"/>
      <c r="CG35" s="358"/>
      <c r="CH35" s="357">
        <f>SUM(CI35:CO35)</f>
        <v>0</v>
      </c>
      <c r="CI35" s="358"/>
      <c r="CJ35" s="358"/>
      <c r="CK35" s="358"/>
      <c r="CL35" s="358"/>
      <c r="CM35" s="358"/>
      <c r="CN35" s="358"/>
      <c r="CO35" s="358"/>
      <c r="CP35" s="353" t="s">
        <v>410</v>
      </c>
      <c r="CQ35" s="372" t="s">
        <v>293</v>
      </c>
      <c r="CR35" s="379"/>
      <c r="CS35" s="368"/>
      <c r="CT35" s="368"/>
    </row>
    <row r="36" spans="1:97" s="380" customFormat="1" ht="25.5" customHeight="1">
      <c r="A36" s="489" t="s">
        <v>136</v>
      </c>
      <c r="B36" s="581" t="s">
        <v>62</v>
      </c>
      <c r="C36" s="582"/>
      <c r="D36" s="582"/>
      <c r="E36" s="582"/>
      <c r="F36" s="582"/>
      <c r="G36" s="582"/>
      <c r="H36" s="582"/>
      <c r="I36" s="583"/>
      <c r="J36" s="449">
        <f>K36*O36</f>
        <v>2977.2899869961</v>
      </c>
      <c r="K36" s="449">
        <f>L36/M36</f>
        <v>1.50065019505852</v>
      </c>
      <c r="L36" s="387">
        <f>Нормы!D12</f>
        <v>2308</v>
      </c>
      <c r="M36" s="387">
        <f>Нормы!E12</f>
        <v>1538</v>
      </c>
      <c r="N36" s="387">
        <f aca="true" t="shared" si="43" ref="N36:AL36">N37+N46</f>
        <v>2977</v>
      </c>
      <c r="O36" s="387">
        <f t="shared" si="43"/>
        <v>1984</v>
      </c>
      <c r="P36" s="387">
        <f t="shared" si="43"/>
        <v>1739</v>
      </c>
      <c r="Q36" s="387">
        <f t="shared" si="43"/>
        <v>205</v>
      </c>
      <c r="R36" s="387">
        <f t="shared" si="43"/>
        <v>40</v>
      </c>
      <c r="S36" s="387"/>
      <c r="T36" s="387">
        <f t="shared" si="43"/>
        <v>0</v>
      </c>
      <c r="U36" s="387">
        <f t="shared" si="43"/>
        <v>993</v>
      </c>
      <c r="V36" s="387">
        <f t="shared" si="43"/>
        <v>0</v>
      </c>
      <c r="W36" s="387">
        <f t="shared" si="43"/>
        <v>0</v>
      </c>
      <c r="X36" s="387">
        <f t="shared" si="43"/>
        <v>0</v>
      </c>
      <c r="Y36" s="387">
        <f t="shared" si="43"/>
        <v>0</v>
      </c>
      <c r="Z36" s="387"/>
      <c r="AA36" s="387">
        <f t="shared" si="43"/>
        <v>0</v>
      </c>
      <c r="AB36" s="387">
        <f t="shared" si="43"/>
        <v>0</v>
      </c>
      <c r="AC36" s="387">
        <f t="shared" si="43"/>
        <v>0</v>
      </c>
      <c r="AD36" s="387">
        <f t="shared" si="43"/>
        <v>0</v>
      </c>
      <c r="AE36" s="387">
        <f t="shared" si="43"/>
        <v>0</v>
      </c>
      <c r="AF36" s="387">
        <f t="shared" si="43"/>
        <v>0</v>
      </c>
      <c r="AG36" s="387"/>
      <c r="AH36" s="387">
        <f t="shared" si="43"/>
        <v>0</v>
      </c>
      <c r="AI36" s="387">
        <f t="shared" si="43"/>
        <v>0</v>
      </c>
      <c r="AJ36" s="387">
        <f t="shared" si="43"/>
        <v>264</v>
      </c>
      <c r="AK36" s="387">
        <f t="shared" si="43"/>
        <v>96</v>
      </c>
      <c r="AL36" s="387">
        <f t="shared" si="43"/>
        <v>80</v>
      </c>
      <c r="AM36" s="387">
        <f aca="true" t="shared" si="44" ref="AM36:BK36">AM37+AM46</f>
        <v>0</v>
      </c>
      <c r="AN36" s="387"/>
      <c r="AO36" s="387">
        <f t="shared" si="44"/>
        <v>0</v>
      </c>
      <c r="AP36" s="387">
        <f t="shared" si="44"/>
        <v>88</v>
      </c>
      <c r="AQ36" s="387">
        <f t="shared" si="44"/>
        <v>772</v>
      </c>
      <c r="AR36" s="387">
        <f t="shared" si="44"/>
        <v>456</v>
      </c>
      <c r="AS36" s="387">
        <f t="shared" si="44"/>
        <v>57</v>
      </c>
      <c r="AT36" s="387">
        <f t="shared" si="44"/>
        <v>0</v>
      </c>
      <c r="AU36" s="387"/>
      <c r="AV36" s="387">
        <f t="shared" si="44"/>
        <v>0</v>
      </c>
      <c r="AW36" s="387">
        <f t="shared" si="44"/>
        <v>259</v>
      </c>
      <c r="AX36" s="387">
        <f t="shared" si="44"/>
        <v>591</v>
      </c>
      <c r="AY36" s="387">
        <f t="shared" si="44"/>
        <v>391</v>
      </c>
      <c r="AZ36" s="387">
        <f t="shared" si="44"/>
        <v>0</v>
      </c>
      <c r="BA36" s="387">
        <f t="shared" si="44"/>
        <v>0</v>
      </c>
      <c r="BB36" s="387"/>
      <c r="BC36" s="387">
        <f t="shared" si="44"/>
        <v>0</v>
      </c>
      <c r="BD36" s="387">
        <f t="shared" si="44"/>
        <v>200</v>
      </c>
      <c r="BE36" s="387">
        <f t="shared" si="44"/>
        <v>428</v>
      </c>
      <c r="BF36" s="387">
        <f t="shared" si="44"/>
        <v>288</v>
      </c>
      <c r="BG36" s="387">
        <f t="shared" si="44"/>
        <v>0</v>
      </c>
      <c r="BH36" s="387">
        <f t="shared" si="44"/>
        <v>0</v>
      </c>
      <c r="BI36" s="387"/>
      <c r="BJ36" s="387">
        <f t="shared" si="44"/>
        <v>0</v>
      </c>
      <c r="BK36" s="387">
        <f t="shared" si="44"/>
        <v>140</v>
      </c>
      <c r="BL36" s="387">
        <f aca="true" t="shared" si="45" ref="BL36:CL36">BL37+BL46</f>
        <v>382</v>
      </c>
      <c r="BM36" s="387">
        <f t="shared" si="45"/>
        <v>240</v>
      </c>
      <c r="BN36" s="387">
        <f t="shared" si="45"/>
        <v>16</v>
      </c>
      <c r="BO36" s="387">
        <f t="shared" si="45"/>
        <v>0</v>
      </c>
      <c r="BP36" s="387"/>
      <c r="BQ36" s="387">
        <f t="shared" si="45"/>
        <v>0</v>
      </c>
      <c r="BR36" s="387">
        <f t="shared" si="45"/>
        <v>126</v>
      </c>
      <c r="BS36" s="387">
        <f t="shared" si="45"/>
        <v>540</v>
      </c>
      <c r="BT36" s="387">
        <f t="shared" si="45"/>
        <v>268</v>
      </c>
      <c r="BU36" s="387">
        <f t="shared" si="45"/>
        <v>52</v>
      </c>
      <c r="BV36" s="387">
        <f t="shared" si="45"/>
        <v>40</v>
      </c>
      <c r="BW36" s="387"/>
      <c r="BX36" s="387">
        <f t="shared" si="45"/>
        <v>0</v>
      </c>
      <c r="BY36" s="387">
        <f t="shared" si="45"/>
        <v>180</v>
      </c>
      <c r="BZ36" s="387">
        <f t="shared" si="45"/>
        <v>0</v>
      </c>
      <c r="CA36" s="387"/>
      <c r="CB36" s="387">
        <f t="shared" si="45"/>
        <v>0</v>
      </c>
      <c r="CC36" s="387">
        <f t="shared" si="45"/>
        <v>0</v>
      </c>
      <c r="CD36" s="387">
        <f t="shared" si="45"/>
        <v>0</v>
      </c>
      <c r="CE36" s="387">
        <f t="shared" si="45"/>
        <v>0</v>
      </c>
      <c r="CF36" s="387">
        <f t="shared" si="45"/>
        <v>0</v>
      </c>
      <c r="CG36" s="387">
        <f t="shared" si="45"/>
        <v>0</v>
      </c>
      <c r="CH36" s="387">
        <f t="shared" si="45"/>
        <v>0</v>
      </c>
      <c r="CI36" s="387">
        <f t="shared" si="45"/>
        <v>0</v>
      </c>
      <c r="CJ36" s="387">
        <f t="shared" si="45"/>
        <v>0</v>
      </c>
      <c r="CK36" s="387">
        <f t="shared" si="45"/>
        <v>0</v>
      </c>
      <c r="CL36" s="387">
        <f t="shared" si="45"/>
        <v>0</v>
      </c>
      <c r="CM36" s="387">
        <f>CM37+CM46</f>
        <v>0</v>
      </c>
      <c r="CN36" s="387">
        <f>CN37+CN46</f>
        <v>0</v>
      </c>
      <c r="CO36" s="387">
        <f>CO37+CO46</f>
        <v>0</v>
      </c>
      <c r="CP36" s="389"/>
      <c r="CQ36" s="393">
        <v>0</v>
      </c>
      <c r="CR36" s="428"/>
      <c r="CS36" s="435"/>
    </row>
    <row r="37" spans="1:97" s="380" customFormat="1" ht="25.5" customHeight="1">
      <c r="A37" s="382" t="s">
        <v>134</v>
      </c>
      <c r="B37" s="578" t="s">
        <v>133</v>
      </c>
      <c r="C37" s="578"/>
      <c r="D37" s="578"/>
      <c r="E37" s="578"/>
      <c r="F37" s="578"/>
      <c r="G37" s="578"/>
      <c r="H37" s="578"/>
      <c r="I37" s="578"/>
      <c r="J37" s="449">
        <f>K37*O37</f>
        <v>1126.5</v>
      </c>
      <c r="K37" s="449">
        <f>L37/M37</f>
        <v>1.5</v>
      </c>
      <c r="L37" s="387">
        <f>Нормы!D13</f>
        <v>900</v>
      </c>
      <c r="M37" s="387">
        <f>Нормы!E13</f>
        <v>600</v>
      </c>
      <c r="N37" s="388">
        <f aca="true" t="shared" si="46" ref="N37:AL37">SUM(N38:N45)</f>
        <v>1127</v>
      </c>
      <c r="O37" s="388">
        <f t="shared" si="46"/>
        <v>751</v>
      </c>
      <c r="P37" s="388">
        <f t="shared" si="46"/>
        <v>652</v>
      </c>
      <c r="Q37" s="388">
        <f t="shared" si="46"/>
        <v>99</v>
      </c>
      <c r="R37" s="388">
        <f t="shared" si="46"/>
        <v>0</v>
      </c>
      <c r="S37" s="388"/>
      <c r="T37" s="388">
        <f t="shared" si="46"/>
        <v>0</v>
      </c>
      <c r="U37" s="388">
        <f t="shared" si="46"/>
        <v>376</v>
      </c>
      <c r="V37" s="388">
        <f t="shared" si="46"/>
        <v>0</v>
      </c>
      <c r="W37" s="388">
        <f t="shared" si="46"/>
        <v>0</v>
      </c>
      <c r="X37" s="388">
        <f t="shared" si="46"/>
        <v>0</v>
      </c>
      <c r="Y37" s="388">
        <f t="shared" si="46"/>
        <v>0</v>
      </c>
      <c r="Z37" s="388"/>
      <c r="AA37" s="388">
        <f t="shared" si="46"/>
        <v>0</v>
      </c>
      <c r="AB37" s="388">
        <f t="shared" si="46"/>
        <v>0</v>
      </c>
      <c r="AC37" s="388">
        <f t="shared" si="46"/>
        <v>0</v>
      </c>
      <c r="AD37" s="388">
        <f t="shared" si="46"/>
        <v>0</v>
      </c>
      <c r="AE37" s="388">
        <f t="shared" si="46"/>
        <v>0</v>
      </c>
      <c r="AF37" s="388">
        <f t="shared" si="46"/>
        <v>0</v>
      </c>
      <c r="AG37" s="388"/>
      <c r="AH37" s="388">
        <f t="shared" si="46"/>
        <v>0</v>
      </c>
      <c r="AI37" s="388">
        <f t="shared" si="46"/>
        <v>0</v>
      </c>
      <c r="AJ37" s="388">
        <f t="shared" si="46"/>
        <v>264</v>
      </c>
      <c r="AK37" s="388">
        <f t="shared" si="46"/>
        <v>96</v>
      </c>
      <c r="AL37" s="388">
        <f t="shared" si="46"/>
        <v>80</v>
      </c>
      <c r="AM37" s="388">
        <f aca="true" t="shared" si="47" ref="AM37:BK37">SUM(AM38:AM45)</f>
        <v>0</v>
      </c>
      <c r="AN37" s="388"/>
      <c r="AO37" s="388">
        <f t="shared" si="47"/>
        <v>0</v>
      </c>
      <c r="AP37" s="388">
        <f t="shared" si="47"/>
        <v>88</v>
      </c>
      <c r="AQ37" s="388">
        <f t="shared" si="47"/>
        <v>487</v>
      </c>
      <c r="AR37" s="388">
        <f t="shared" si="47"/>
        <v>304</v>
      </c>
      <c r="AS37" s="388">
        <f t="shared" si="47"/>
        <v>19</v>
      </c>
      <c r="AT37" s="388">
        <f t="shared" si="47"/>
        <v>0</v>
      </c>
      <c r="AU37" s="388"/>
      <c r="AV37" s="388">
        <f t="shared" si="47"/>
        <v>0</v>
      </c>
      <c r="AW37" s="388">
        <f t="shared" si="47"/>
        <v>164</v>
      </c>
      <c r="AX37" s="388">
        <f t="shared" si="47"/>
        <v>308</v>
      </c>
      <c r="AY37" s="388">
        <f t="shared" si="47"/>
        <v>204</v>
      </c>
      <c r="AZ37" s="388">
        <f t="shared" si="47"/>
        <v>0</v>
      </c>
      <c r="BA37" s="388">
        <f t="shared" si="47"/>
        <v>0</v>
      </c>
      <c r="BB37" s="388"/>
      <c r="BC37" s="388">
        <f t="shared" si="47"/>
        <v>0</v>
      </c>
      <c r="BD37" s="388">
        <f t="shared" si="47"/>
        <v>104</v>
      </c>
      <c r="BE37" s="388">
        <f t="shared" si="47"/>
        <v>68</v>
      </c>
      <c r="BF37" s="388">
        <f t="shared" si="47"/>
        <v>48</v>
      </c>
      <c r="BG37" s="388">
        <f t="shared" si="47"/>
        <v>0</v>
      </c>
      <c r="BH37" s="388">
        <f t="shared" si="47"/>
        <v>0</v>
      </c>
      <c r="BI37" s="388"/>
      <c r="BJ37" s="388">
        <f t="shared" si="47"/>
        <v>0</v>
      </c>
      <c r="BK37" s="388">
        <f t="shared" si="47"/>
        <v>20</v>
      </c>
      <c r="BL37" s="388">
        <f aca="true" t="shared" si="48" ref="BL37:CL37">SUM(BL38:BL45)</f>
        <v>0</v>
      </c>
      <c r="BM37" s="388">
        <f t="shared" si="48"/>
        <v>0</v>
      </c>
      <c r="BN37" s="388">
        <f t="shared" si="48"/>
        <v>0</v>
      </c>
      <c r="BO37" s="388">
        <f t="shared" si="48"/>
        <v>0</v>
      </c>
      <c r="BP37" s="388"/>
      <c r="BQ37" s="388">
        <f t="shared" si="48"/>
        <v>0</v>
      </c>
      <c r="BR37" s="388">
        <f t="shared" si="48"/>
        <v>0</v>
      </c>
      <c r="BS37" s="388">
        <f t="shared" si="48"/>
        <v>0</v>
      </c>
      <c r="BT37" s="388">
        <f t="shared" si="48"/>
        <v>0</v>
      </c>
      <c r="BU37" s="388">
        <f t="shared" si="48"/>
        <v>0</v>
      </c>
      <c r="BV37" s="388">
        <f t="shared" si="48"/>
        <v>0</v>
      </c>
      <c r="BW37" s="388"/>
      <c r="BX37" s="388">
        <f t="shared" si="48"/>
        <v>0</v>
      </c>
      <c r="BY37" s="388">
        <f t="shared" si="48"/>
        <v>0</v>
      </c>
      <c r="BZ37" s="388">
        <f t="shared" si="48"/>
        <v>0</v>
      </c>
      <c r="CA37" s="388"/>
      <c r="CB37" s="388">
        <f t="shared" si="48"/>
        <v>0</v>
      </c>
      <c r="CC37" s="388">
        <f t="shared" si="48"/>
        <v>0</v>
      </c>
      <c r="CD37" s="388">
        <f t="shared" si="48"/>
        <v>0</v>
      </c>
      <c r="CE37" s="388">
        <f t="shared" si="48"/>
        <v>0</v>
      </c>
      <c r="CF37" s="388">
        <f t="shared" si="48"/>
        <v>0</v>
      </c>
      <c r="CG37" s="388">
        <f t="shared" si="48"/>
        <v>0</v>
      </c>
      <c r="CH37" s="388">
        <f t="shared" si="48"/>
        <v>0</v>
      </c>
      <c r="CI37" s="388">
        <f t="shared" si="48"/>
        <v>0</v>
      </c>
      <c r="CJ37" s="388">
        <f t="shared" si="48"/>
        <v>0</v>
      </c>
      <c r="CK37" s="388">
        <f t="shared" si="48"/>
        <v>0</v>
      </c>
      <c r="CL37" s="388">
        <f t="shared" si="48"/>
        <v>0</v>
      </c>
      <c r="CM37" s="388">
        <f>SUM(CM38:CM45)</f>
        <v>0</v>
      </c>
      <c r="CN37" s="388">
        <f>SUM(CN38:CN45)</f>
        <v>0</v>
      </c>
      <c r="CO37" s="388">
        <f>SUM(CO38:CO45)</f>
        <v>0</v>
      </c>
      <c r="CP37" s="389"/>
      <c r="CQ37" s="393">
        <v>0</v>
      </c>
      <c r="CR37" s="428"/>
      <c r="CS37" s="435">
        <f>SUM(N37-L37)</f>
        <v>227</v>
      </c>
    </row>
    <row r="38" spans="1:98" s="487" customFormat="1" ht="33" customHeight="1">
      <c r="A38" s="347" t="s">
        <v>437</v>
      </c>
      <c r="B38" s="352" t="s">
        <v>135</v>
      </c>
      <c r="C38" s="352"/>
      <c r="D38" s="353"/>
      <c r="E38" s="353" t="s">
        <v>28</v>
      </c>
      <c r="F38" s="353"/>
      <c r="G38" s="353"/>
      <c r="H38" s="353"/>
      <c r="I38" s="353"/>
      <c r="J38" s="450"/>
      <c r="K38" s="450"/>
      <c r="L38" s="358"/>
      <c r="M38" s="358"/>
      <c r="N38" s="356">
        <f>O38+SUM(U38)</f>
        <v>96</v>
      </c>
      <c r="O38" s="356">
        <f>SUM(P38:R38)</f>
        <v>64</v>
      </c>
      <c r="P38" s="356">
        <f aca="true" t="shared" si="49" ref="P38:U45">W38+AD38+AK38+AR38+AY38+BF38+BM38+BT38+CB38+CJ38</f>
        <v>0</v>
      </c>
      <c r="Q38" s="356">
        <f t="shared" si="49"/>
        <v>64</v>
      </c>
      <c r="R38" s="356">
        <f t="shared" si="49"/>
        <v>0</v>
      </c>
      <c r="S38" s="356">
        <f t="shared" si="49"/>
        <v>0</v>
      </c>
      <c r="T38" s="356">
        <f t="shared" si="49"/>
        <v>0</v>
      </c>
      <c r="U38" s="356">
        <f t="shared" si="49"/>
        <v>32</v>
      </c>
      <c r="V38" s="357">
        <f aca="true" t="shared" si="50" ref="V38:V45">SUM(W38:AB38)</f>
        <v>0</v>
      </c>
      <c r="W38" s="358"/>
      <c r="X38" s="358"/>
      <c r="Y38" s="358"/>
      <c r="Z38" s="358"/>
      <c r="AA38" s="358"/>
      <c r="AB38" s="358"/>
      <c r="AC38" s="357">
        <f aca="true" t="shared" si="51" ref="AC38:AC45">SUM(AD38:AI38)</f>
        <v>0</v>
      </c>
      <c r="AD38" s="358"/>
      <c r="AE38" s="358"/>
      <c r="AF38" s="358"/>
      <c r="AG38" s="358"/>
      <c r="AH38" s="358"/>
      <c r="AI38" s="358"/>
      <c r="AJ38" s="357">
        <f aca="true" t="shared" si="52" ref="AJ38:AJ45">SUM(AK38:AP38)</f>
        <v>96</v>
      </c>
      <c r="AK38" s="358"/>
      <c r="AL38" s="358">
        <v>64</v>
      </c>
      <c r="AM38" s="358"/>
      <c r="AN38" s="358"/>
      <c r="AO38" s="358"/>
      <c r="AP38" s="358">
        <f aca="true" t="shared" si="53" ref="AP38:AP45">(SUM(AK38:AN38)/2)</f>
        <v>32</v>
      </c>
      <c r="AQ38" s="357">
        <f aca="true" t="shared" si="54" ref="AQ38:AQ45">SUM(AR38:AW38)</f>
        <v>0</v>
      </c>
      <c r="AR38" s="358"/>
      <c r="AS38" s="358"/>
      <c r="AT38" s="358"/>
      <c r="AU38" s="358"/>
      <c r="AV38" s="358"/>
      <c r="AW38" s="358">
        <f aca="true" t="shared" si="55" ref="AW38:AW45">(SUM(AR38:AU38)/2)</f>
        <v>0</v>
      </c>
      <c r="AX38" s="357">
        <f aca="true" t="shared" si="56" ref="AX38:AX45">SUM(AY38:BD38)</f>
        <v>0</v>
      </c>
      <c r="AY38" s="358"/>
      <c r="AZ38" s="358"/>
      <c r="BA38" s="358"/>
      <c r="BB38" s="358"/>
      <c r="BC38" s="358"/>
      <c r="BD38" s="358">
        <f aca="true" t="shared" si="57" ref="BD38:BD44">(SUM(AY38:BB38)/2)</f>
        <v>0</v>
      </c>
      <c r="BE38" s="357">
        <f aca="true" t="shared" si="58" ref="BE38:BE45">SUM(BF38:BK38)</f>
        <v>0</v>
      </c>
      <c r="BF38" s="358"/>
      <c r="BG38" s="358"/>
      <c r="BH38" s="358"/>
      <c r="BI38" s="358"/>
      <c r="BJ38" s="358"/>
      <c r="BK38" s="358">
        <f aca="true" t="shared" si="59" ref="BK38:BK45">(SUM(BF38:BI38)/2)</f>
        <v>0</v>
      </c>
      <c r="BL38" s="357">
        <f aca="true" t="shared" si="60" ref="BL38:BL45">SUM(BM38:BR38)</f>
        <v>0</v>
      </c>
      <c r="BM38" s="358"/>
      <c r="BN38" s="358"/>
      <c r="BO38" s="358"/>
      <c r="BP38" s="358"/>
      <c r="BQ38" s="358"/>
      <c r="BR38" s="358"/>
      <c r="BS38" s="357">
        <f aca="true" t="shared" si="61" ref="BS38:BS45">SUM(BT38:BY38)</f>
        <v>0</v>
      </c>
      <c r="BT38" s="358"/>
      <c r="BU38" s="358"/>
      <c r="BV38" s="358"/>
      <c r="BW38" s="358"/>
      <c r="BX38" s="358"/>
      <c r="BY38" s="358"/>
      <c r="BZ38" s="357">
        <f aca="true" t="shared" si="62" ref="BZ38:BZ45">SUM(CA38:CG38)</f>
        <v>0</v>
      </c>
      <c r="CA38" s="358"/>
      <c r="CB38" s="358"/>
      <c r="CC38" s="358"/>
      <c r="CD38" s="358"/>
      <c r="CE38" s="358"/>
      <c r="CF38" s="358"/>
      <c r="CG38" s="358"/>
      <c r="CH38" s="357">
        <f aca="true" t="shared" si="63" ref="CH38:CH45">SUM(CI38:CO38)</f>
        <v>0</v>
      </c>
      <c r="CI38" s="358"/>
      <c r="CJ38" s="358"/>
      <c r="CK38" s="358"/>
      <c r="CL38" s="358"/>
      <c r="CM38" s="358"/>
      <c r="CN38" s="358"/>
      <c r="CO38" s="358"/>
      <c r="CP38" s="353" t="s">
        <v>412</v>
      </c>
      <c r="CQ38" s="372" t="s">
        <v>296</v>
      </c>
      <c r="CR38" s="379"/>
      <c r="CS38" s="368"/>
      <c r="CT38" s="368"/>
    </row>
    <row r="39" spans="1:98" s="487" customFormat="1" ht="33" customHeight="1">
      <c r="A39" s="347" t="s">
        <v>438</v>
      </c>
      <c r="B39" s="351" t="s">
        <v>436</v>
      </c>
      <c r="C39" s="352"/>
      <c r="D39" s="353"/>
      <c r="E39" s="353" t="s">
        <v>38</v>
      </c>
      <c r="F39" s="353"/>
      <c r="G39" s="353"/>
      <c r="H39" s="353"/>
      <c r="I39" s="353" t="s">
        <v>28</v>
      </c>
      <c r="J39" s="450"/>
      <c r="K39" s="450"/>
      <c r="L39" s="358"/>
      <c r="M39" s="358"/>
      <c r="N39" s="356">
        <f aca="true" t="shared" si="64" ref="N39:N45">O39+SUM(U39)</f>
        <v>182</v>
      </c>
      <c r="O39" s="356">
        <f aca="true" t="shared" si="65" ref="O39:O44">SUM(P39:R39)</f>
        <v>121</v>
      </c>
      <c r="P39" s="356">
        <f t="shared" si="49"/>
        <v>86</v>
      </c>
      <c r="Q39" s="356">
        <f t="shared" si="49"/>
        <v>35</v>
      </c>
      <c r="R39" s="356">
        <f t="shared" si="49"/>
        <v>0</v>
      </c>
      <c r="S39" s="356">
        <f t="shared" si="49"/>
        <v>0</v>
      </c>
      <c r="T39" s="356">
        <f t="shared" si="49"/>
        <v>0</v>
      </c>
      <c r="U39" s="356">
        <f t="shared" si="49"/>
        <v>61</v>
      </c>
      <c r="V39" s="357">
        <f t="shared" si="50"/>
        <v>0</v>
      </c>
      <c r="W39" s="358"/>
      <c r="X39" s="358"/>
      <c r="Y39" s="358"/>
      <c r="Z39" s="358"/>
      <c r="AA39" s="358"/>
      <c r="AB39" s="358"/>
      <c r="AC39" s="357">
        <f t="shared" si="51"/>
        <v>0</v>
      </c>
      <c r="AD39" s="358"/>
      <c r="AE39" s="358"/>
      <c r="AF39" s="358"/>
      <c r="AG39" s="358"/>
      <c r="AH39" s="358"/>
      <c r="AI39" s="358"/>
      <c r="AJ39" s="357">
        <f t="shared" si="52"/>
        <v>96</v>
      </c>
      <c r="AK39" s="354">
        <v>48</v>
      </c>
      <c r="AL39" s="354">
        <v>16</v>
      </c>
      <c r="AM39" s="358"/>
      <c r="AN39" s="358"/>
      <c r="AO39" s="358"/>
      <c r="AP39" s="358">
        <f t="shared" si="53"/>
        <v>32</v>
      </c>
      <c r="AQ39" s="357">
        <f t="shared" si="54"/>
        <v>86</v>
      </c>
      <c r="AR39" s="354">
        <v>38</v>
      </c>
      <c r="AS39" s="354">
        <v>19</v>
      </c>
      <c r="AT39" s="358"/>
      <c r="AU39" s="358"/>
      <c r="AV39" s="358"/>
      <c r="AW39" s="358">
        <f t="shared" si="55"/>
        <v>29</v>
      </c>
      <c r="AX39" s="357">
        <f t="shared" si="56"/>
        <v>0</v>
      </c>
      <c r="AY39" s="358"/>
      <c r="AZ39" s="358"/>
      <c r="BA39" s="358"/>
      <c r="BB39" s="358"/>
      <c r="BC39" s="358"/>
      <c r="BD39" s="358">
        <f t="shared" si="57"/>
        <v>0</v>
      </c>
      <c r="BE39" s="357">
        <f t="shared" si="58"/>
        <v>0</v>
      </c>
      <c r="BF39" s="358"/>
      <c r="BG39" s="358"/>
      <c r="BH39" s="358"/>
      <c r="BI39" s="358"/>
      <c r="BJ39" s="358"/>
      <c r="BK39" s="358">
        <f t="shared" si="59"/>
        <v>0</v>
      </c>
      <c r="BL39" s="357">
        <f t="shared" si="60"/>
        <v>0</v>
      </c>
      <c r="BM39" s="358"/>
      <c r="BN39" s="358"/>
      <c r="BO39" s="358"/>
      <c r="BP39" s="358"/>
      <c r="BQ39" s="358"/>
      <c r="BR39" s="358"/>
      <c r="BS39" s="357">
        <f t="shared" si="61"/>
        <v>0</v>
      </c>
      <c r="BT39" s="358"/>
      <c r="BU39" s="358"/>
      <c r="BV39" s="358"/>
      <c r="BW39" s="358"/>
      <c r="BX39" s="358"/>
      <c r="BY39" s="358"/>
      <c r="BZ39" s="357">
        <f t="shared" si="62"/>
        <v>0</v>
      </c>
      <c r="CA39" s="358"/>
      <c r="CB39" s="358"/>
      <c r="CC39" s="358"/>
      <c r="CD39" s="358"/>
      <c r="CE39" s="358"/>
      <c r="CF39" s="358"/>
      <c r="CG39" s="358"/>
      <c r="CH39" s="357">
        <f t="shared" si="63"/>
        <v>0</v>
      </c>
      <c r="CI39" s="358"/>
      <c r="CJ39" s="358"/>
      <c r="CK39" s="358"/>
      <c r="CL39" s="358"/>
      <c r="CM39" s="358"/>
      <c r="CN39" s="358"/>
      <c r="CO39" s="358"/>
      <c r="CP39" s="373" t="s">
        <v>543</v>
      </c>
      <c r="CQ39" s="372" t="s">
        <v>297</v>
      </c>
      <c r="CR39" s="379"/>
      <c r="CS39" s="368"/>
      <c r="CT39" s="368"/>
    </row>
    <row r="40" spans="1:98" s="487" customFormat="1" ht="35.25" customHeight="1">
      <c r="A40" s="347" t="s">
        <v>439</v>
      </c>
      <c r="B40" s="351" t="s">
        <v>225</v>
      </c>
      <c r="C40" s="352"/>
      <c r="D40" s="353"/>
      <c r="E40" s="353" t="s">
        <v>38</v>
      </c>
      <c r="F40" s="353"/>
      <c r="G40" s="353"/>
      <c r="H40" s="353"/>
      <c r="I40" s="353"/>
      <c r="J40" s="450"/>
      <c r="K40" s="450"/>
      <c r="L40" s="358"/>
      <c r="M40" s="358"/>
      <c r="N40" s="356">
        <f t="shared" si="64"/>
        <v>86</v>
      </c>
      <c r="O40" s="356">
        <f t="shared" si="65"/>
        <v>57</v>
      </c>
      <c r="P40" s="356">
        <f t="shared" si="49"/>
        <v>57</v>
      </c>
      <c r="Q40" s="356">
        <f t="shared" si="49"/>
        <v>0</v>
      </c>
      <c r="R40" s="356">
        <f t="shared" si="49"/>
        <v>0</v>
      </c>
      <c r="S40" s="356">
        <f t="shared" si="49"/>
        <v>0</v>
      </c>
      <c r="T40" s="356">
        <f t="shared" si="49"/>
        <v>0</v>
      </c>
      <c r="U40" s="356">
        <f t="shared" si="49"/>
        <v>29</v>
      </c>
      <c r="V40" s="357">
        <f t="shared" si="50"/>
        <v>0</v>
      </c>
      <c r="W40" s="358"/>
      <c r="X40" s="358"/>
      <c r="Y40" s="358"/>
      <c r="Z40" s="358"/>
      <c r="AA40" s="358"/>
      <c r="AB40" s="358"/>
      <c r="AC40" s="357">
        <f t="shared" si="51"/>
        <v>0</v>
      </c>
      <c r="AD40" s="358"/>
      <c r="AE40" s="358"/>
      <c r="AF40" s="358"/>
      <c r="AG40" s="358"/>
      <c r="AH40" s="358"/>
      <c r="AI40" s="358"/>
      <c r="AJ40" s="357">
        <f t="shared" si="52"/>
        <v>0</v>
      </c>
      <c r="AK40" s="358"/>
      <c r="AL40" s="358"/>
      <c r="AM40" s="358"/>
      <c r="AN40" s="358"/>
      <c r="AO40" s="358"/>
      <c r="AP40" s="358">
        <f t="shared" si="53"/>
        <v>0</v>
      </c>
      <c r="AQ40" s="357">
        <f t="shared" si="54"/>
        <v>86</v>
      </c>
      <c r="AR40" s="358">
        <v>57</v>
      </c>
      <c r="AS40" s="358"/>
      <c r="AT40" s="358"/>
      <c r="AU40" s="358"/>
      <c r="AV40" s="358"/>
      <c r="AW40" s="358">
        <f t="shared" si="55"/>
        <v>29</v>
      </c>
      <c r="AX40" s="357">
        <f t="shared" si="56"/>
        <v>0</v>
      </c>
      <c r="AY40" s="358"/>
      <c r="AZ40" s="358"/>
      <c r="BA40" s="358"/>
      <c r="BB40" s="358"/>
      <c r="BC40" s="358"/>
      <c r="BD40" s="358">
        <f t="shared" si="57"/>
        <v>0</v>
      </c>
      <c r="BE40" s="357">
        <f t="shared" si="58"/>
        <v>0</v>
      </c>
      <c r="BF40" s="358"/>
      <c r="BG40" s="358"/>
      <c r="BH40" s="358"/>
      <c r="BI40" s="358"/>
      <c r="BJ40" s="358"/>
      <c r="BK40" s="358">
        <f t="shared" si="59"/>
        <v>0</v>
      </c>
      <c r="BL40" s="357">
        <f t="shared" si="60"/>
        <v>0</v>
      </c>
      <c r="BM40" s="358"/>
      <c r="BN40" s="358"/>
      <c r="BO40" s="358"/>
      <c r="BP40" s="358"/>
      <c r="BQ40" s="358"/>
      <c r="BR40" s="358"/>
      <c r="BS40" s="357">
        <f t="shared" si="61"/>
        <v>0</v>
      </c>
      <c r="BT40" s="358"/>
      <c r="BU40" s="358"/>
      <c r="BV40" s="358"/>
      <c r="BW40" s="358"/>
      <c r="BX40" s="358"/>
      <c r="BY40" s="358"/>
      <c r="BZ40" s="357">
        <f t="shared" si="62"/>
        <v>0</v>
      </c>
      <c r="CA40" s="358"/>
      <c r="CB40" s="358"/>
      <c r="CC40" s="358"/>
      <c r="CD40" s="358"/>
      <c r="CE40" s="358"/>
      <c r="CF40" s="358"/>
      <c r="CG40" s="358"/>
      <c r="CH40" s="357">
        <f t="shared" si="63"/>
        <v>0</v>
      </c>
      <c r="CI40" s="358"/>
      <c r="CJ40" s="358"/>
      <c r="CK40" s="358"/>
      <c r="CL40" s="358"/>
      <c r="CM40" s="358"/>
      <c r="CN40" s="358"/>
      <c r="CO40" s="358"/>
      <c r="CP40" s="373" t="s">
        <v>412</v>
      </c>
      <c r="CQ40" s="372" t="s">
        <v>298</v>
      </c>
      <c r="CR40" s="379"/>
      <c r="CS40" s="368"/>
      <c r="CT40" s="368"/>
    </row>
    <row r="41" spans="1:98" s="487" customFormat="1" ht="33" customHeight="1">
      <c r="A41" s="347" t="s">
        <v>440</v>
      </c>
      <c r="B41" s="352" t="s">
        <v>226</v>
      </c>
      <c r="C41" s="352"/>
      <c r="D41" s="353"/>
      <c r="E41" s="373" t="s">
        <v>38</v>
      </c>
      <c r="F41" s="353"/>
      <c r="G41" s="353"/>
      <c r="H41" s="353"/>
      <c r="I41" s="353" t="s">
        <v>28</v>
      </c>
      <c r="J41" s="450"/>
      <c r="K41" s="450"/>
      <c r="L41" s="358"/>
      <c r="M41" s="358"/>
      <c r="N41" s="356">
        <f t="shared" si="64"/>
        <v>158</v>
      </c>
      <c r="O41" s="356">
        <f t="shared" si="65"/>
        <v>105</v>
      </c>
      <c r="P41" s="356">
        <f t="shared" si="49"/>
        <v>105</v>
      </c>
      <c r="Q41" s="356">
        <f t="shared" si="49"/>
        <v>0</v>
      </c>
      <c r="R41" s="356">
        <f t="shared" si="49"/>
        <v>0</v>
      </c>
      <c r="S41" s="356">
        <f t="shared" si="49"/>
        <v>0</v>
      </c>
      <c r="T41" s="356">
        <f t="shared" si="49"/>
        <v>0</v>
      </c>
      <c r="U41" s="356">
        <f t="shared" si="49"/>
        <v>53</v>
      </c>
      <c r="V41" s="357">
        <f t="shared" si="50"/>
        <v>0</v>
      </c>
      <c r="W41" s="358"/>
      <c r="X41" s="358"/>
      <c r="Y41" s="358"/>
      <c r="Z41" s="358"/>
      <c r="AA41" s="358"/>
      <c r="AB41" s="358"/>
      <c r="AC41" s="357">
        <f t="shared" si="51"/>
        <v>0</v>
      </c>
      <c r="AD41" s="358"/>
      <c r="AE41" s="358"/>
      <c r="AF41" s="358"/>
      <c r="AG41" s="358"/>
      <c r="AH41" s="358"/>
      <c r="AI41" s="358"/>
      <c r="AJ41" s="357">
        <f t="shared" si="52"/>
        <v>72</v>
      </c>
      <c r="AK41" s="354">
        <v>48</v>
      </c>
      <c r="AL41" s="358"/>
      <c r="AM41" s="358"/>
      <c r="AN41" s="358"/>
      <c r="AO41" s="358"/>
      <c r="AP41" s="358">
        <f t="shared" si="53"/>
        <v>24</v>
      </c>
      <c r="AQ41" s="357">
        <f t="shared" si="54"/>
        <v>86</v>
      </c>
      <c r="AR41" s="358">
        <v>57</v>
      </c>
      <c r="AS41" s="354"/>
      <c r="AT41" s="358"/>
      <c r="AU41" s="358"/>
      <c r="AV41" s="358"/>
      <c r="AW41" s="358">
        <f t="shared" si="55"/>
        <v>29</v>
      </c>
      <c r="AX41" s="357">
        <f t="shared" si="56"/>
        <v>0</v>
      </c>
      <c r="AY41" s="358"/>
      <c r="AZ41" s="358"/>
      <c r="BA41" s="358"/>
      <c r="BB41" s="358"/>
      <c r="BC41" s="358"/>
      <c r="BD41" s="358">
        <f t="shared" si="57"/>
        <v>0</v>
      </c>
      <c r="BE41" s="357">
        <f t="shared" si="58"/>
        <v>0</v>
      </c>
      <c r="BF41" s="358"/>
      <c r="BG41" s="358"/>
      <c r="BH41" s="358"/>
      <c r="BI41" s="358"/>
      <c r="BJ41" s="358"/>
      <c r="BK41" s="358">
        <f t="shared" si="59"/>
        <v>0</v>
      </c>
      <c r="BL41" s="357">
        <f t="shared" si="60"/>
        <v>0</v>
      </c>
      <c r="BM41" s="358"/>
      <c r="BN41" s="358"/>
      <c r="BO41" s="358"/>
      <c r="BP41" s="358"/>
      <c r="BQ41" s="358"/>
      <c r="BR41" s="358"/>
      <c r="BS41" s="357">
        <f t="shared" si="61"/>
        <v>0</v>
      </c>
      <c r="BT41" s="358"/>
      <c r="BU41" s="358"/>
      <c r="BV41" s="358"/>
      <c r="BW41" s="358"/>
      <c r="BX41" s="358"/>
      <c r="BY41" s="358"/>
      <c r="BZ41" s="357">
        <f t="shared" si="62"/>
        <v>0</v>
      </c>
      <c r="CA41" s="358"/>
      <c r="CB41" s="358"/>
      <c r="CC41" s="358"/>
      <c r="CD41" s="358"/>
      <c r="CE41" s="358"/>
      <c r="CF41" s="358"/>
      <c r="CG41" s="358"/>
      <c r="CH41" s="357">
        <f t="shared" si="63"/>
        <v>0</v>
      </c>
      <c r="CI41" s="358"/>
      <c r="CJ41" s="358"/>
      <c r="CK41" s="358"/>
      <c r="CL41" s="358"/>
      <c r="CM41" s="358"/>
      <c r="CN41" s="358"/>
      <c r="CO41" s="358"/>
      <c r="CP41" s="373" t="s">
        <v>544</v>
      </c>
      <c r="CQ41" s="372" t="s">
        <v>299</v>
      </c>
      <c r="CR41" s="379"/>
      <c r="CS41" s="368"/>
      <c r="CT41" s="368"/>
    </row>
    <row r="42" spans="1:98" s="487" customFormat="1" ht="32.25" customHeight="1">
      <c r="A42" s="347" t="s">
        <v>441</v>
      </c>
      <c r="B42" s="352" t="s">
        <v>227</v>
      </c>
      <c r="C42" s="352"/>
      <c r="D42" s="353"/>
      <c r="E42" s="353" t="s">
        <v>39</v>
      </c>
      <c r="F42" s="353"/>
      <c r="G42" s="353"/>
      <c r="H42" s="373"/>
      <c r="I42" s="353" t="s">
        <v>38</v>
      </c>
      <c r="J42" s="450"/>
      <c r="K42" s="450"/>
      <c r="L42" s="358"/>
      <c r="M42" s="358"/>
      <c r="N42" s="356">
        <f t="shared" si="64"/>
        <v>297</v>
      </c>
      <c r="O42" s="356">
        <f t="shared" si="65"/>
        <v>197</v>
      </c>
      <c r="P42" s="356">
        <f t="shared" si="49"/>
        <v>197</v>
      </c>
      <c r="Q42" s="356">
        <f t="shared" si="49"/>
        <v>0</v>
      </c>
      <c r="R42" s="356">
        <f t="shared" si="49"/>
        <v>0</v>
      </c>
      <c r="S42" s="356">
        <f t="shared" si="49"/>
        <v>0</v>
      </c>
      <c r="T42" s="356">
        <f t="shared" si="49"/>
        <v>0</v>
      </c>
      <c r="U42" s="356">
        <f t="shared" si="49"/>
        <v>100</v>
      </c>
      <c r="V42" s="357">
        <f t="shared" si="50"/>
        <v>0</v>
      </c>
      <c r="W42" s="358"/>
      <c r="X42" s="358"/>
      <c r="Y42" s="358"/>
      <c r="Z42" s="358"/>
      <c r="AA42" s="358"/>
      <c r="AB42" s="358"/>
      <c r="AC42" s="357">
        <f t="shared" si="51"/>
        <v>0</v>
      </c>
      <c r="AD42" s="358"/>
      <c r="AE42" s="358"/>
      <c r="AF42" s="358"/>
      <c r="AG42" s="358"/>
      <c r="AH42" s="358"/>
      <c r="AI42" s="358"/>
      <c r="AJ42" s="357">
        <f t="shared" si="52"/>
        <v>0</v>
      </c>
      <c r="AK42" s="358"/>
      <c r="AL42" s="358"/>
      <c r="AM42" s="358"/>
      <c r="AN42" s="358"/>
      <c r="AO42" s="358"/>
      <c r="AP42" s="358">
        <f t="shared" si="53"/>
        <v>0</v>
      </c>
      <c r="AQ42" s="357">
        <f t="shared" si="54"/>
        <v>143</v>
      </c>
      <c r="AR42" s="358">
        <v>95</v>
      </c>
      <c r="AS42" s="354"/>
      <c r="AT42" s="358"/>
      <c r="AU42" s="358"/>
      <c r="AV42" s="358"/>
      <c r="AW42" s="358">
        <f t="shared" si="55"/>
        <v>48</v>
      </c>
      <c r="AX42" s="357">
        <f t="shared" si="56"/>
        <v>154</v>
      </c>
      <c r="AY42" s="358">
        <v>102</v>
      </c>
      <c r="AZ42" s="354"/>
      <c r="BA42" s="358"/>
      <c r="BB42" s="358"/>
      <c r="BC42" s="358"/>
      <c r="BD42" s="358">
        <v>52</v>
      </c>
      <c r="BE42" s="357">
        <f t="shared" si="58"/>
        <v>0</v>
      </c>
      <c r="BF42" s="358"/>
      <c r="BG42" s="358"/>
      <c r="BH42" s="358"/>
      <c r="BI42" s="358"/>
      <c r="BJ42" s="358"/>
      <c r="BK42" s="358">
        <f t="shared" si="59"/>
        <v>0</v>
      </c>
      <c r="BL42" s="357">
        <f t="shared" si="60"/>
        <v>0</v>
      </c>
      <c r="BM42" s="358"/>
      <c r="BN42" s="358"/>
      <c r="BO42" s="358"/>
      <c r="BP42" s="358"/>
      <c r="BQ42" s="358"/>
      <c r="BR42" s="358"/>
      <c r="BS42" s="357">
        <f t="shared" si="61"/>
        <v>0</v>
      </c>
      <c r="BT42" s="358"/>
      <c r="BU42" s="358"/>
      <c r="BV42" s="358"/>
      <c r="BW42" s="358"/>
      <c r="BX42" s="358"/>
      <c r="BY42" s="358"/>
      <c r="BZ42" s="357">
        <f t="shared" si="62"/>
        <v>0</v>
      </c>
      <c r="CA42" s="358"/>
      <c r="CB42" s="358"/>
      <c r="CC42" s="358"/>
      <c r="CD42" s="358"/>
      <c r="CE42" s="358"/>
      <c r="CF42" s="358"/>
      <c r="CG42" s="358"/>
      <c r="CH42" s="357">
        <f t="shared" si="63"/>
        <v>0</v>
      </c>
      <c r="CI42" s="358"/>
      <c r="CJ42" s="358"/>
      <c r="CK42" s="358"/>
      <c r="CL42" s="358"/>
      <c r="CM42" s="358"/>
      <c r="CN42" s="358"/>
      <c r="CO42" s="358"/>
      <c r="CP42" s="373" t="s">
        <v>544</v>
      </c>
      <c r="CQ42" s="372" t="s">
        <v>300</v>
      </c>
      <c r="CR42" s="379"/>
      <c r="CS42" s="368"/>
      <c r="CT42" s="368"/>
    </row>
    <row r="43" spans="1:96" s="368" customFormat="1" ht="35.25" customHeight="1">
      <c r="A43" s="347" t="s">
        <v>442</v>
      </c>
      <c r="B43" s="352" t="s">
        <v>228</v>
      </c>
      <c r="C43" s="352"/>
      <c r="D43" s="353"/>
      <c r="E43" s="353" t="s">
        <v>40</v>
      </c>
      <c r="F43" s="353"/>
      <c r="G43" s="353"/>
      <c r="H43" s="353"/>
      <c r="I43" s="373" t="s">
        <v>39</v>
      </c>
      <c r="J43" s="450"/>
      <c r="K43" s="450"/>
      <c r="L43" s="358"/>
      <c r="M43" s="358"/>
      <c r="N43" s="356">
        <f t="shared" si="64"/>
        <v>119</v>
      </c>
      <c r="O43" s="356">
        <f t="shared" si="65"/>
        <v>82</v>
      </c>
      <c r="P43" s="356">
        <f t="shared" si="49"/>
        <v>82</v>
      </c>
      <c r="Q43" s="356">
        <f t="shared" si="49"/>
        <v>0</v>
      </c>
      <c r="R43" s="356">
        <f t="shared" si="49"/>
        <v>0</v>
      </c>
      <c r="S43" s="356">
        <f t="shared" si="49"/>
        <v>0</v>
      </c>
      <c r="T43" s="356">
        <f t="shared" si="49"/>
        <v>0</v>
      </c>
      <c r="U43" s="356">
        <f t="shared" si="49"/>
        <v>37</v>
      </c>
      <c r="V43" s="357">
        <f t="shared" si="50"/>
        <v>0</v>
      </c>
      <c r="W43" s="358"/>
      <c r="X43" s="358"/>
      <c r="Y43" s="358"/>
      <c r="Z43" s="358"/>
      <c r="AA43" s="358"/>
      <c r="AB43" s="358"/>
      <c r="AC43" s="357">
        <f t="shared" si="51"/>
        <v>0</v>
      </c>
      <c r="AD43" s="358"/>
      <c r="AE43" s="358"/>
      <c r="AF43" s="358"/>
      <c r="AG43" s="358"/>
      <c r="AH43" s="358"/>
      <c r="AI43" s="358"/>
      <c r="AJ43" s="357">
        <f t="shared" si="52"/>
        <v>0</v>
      </c>
      <c r="AK43" s="358"/>
      <c r="AL43" s="358"/>
      <c r="AM43" s="358"/>
      <c r="AN43" s="358"/>
      <c r="AO43" s="358"/>
      <c r="AP43" s="358">
        <f t="shared" si="53"/>
        <v>0</v>
      </c>
      <c r="AQ43" s="357">
        <f t="shared" si="54"/>
        <v>0</v>
      </c>
      <c r="AR43" s="358"/>
      <c r="AS43" s="354"/>
      <c r="AT43" s="358"/>
      <c r="AU43" s="358"/>
      <c r="AV43" s="358"/>
      <c r="AW43" s="358">
        <f t="shared" si="55"/>
        <v>0</v>
      </c>
      <c r="AX43" s="357">
        <f t="shared" si="56"/>
        <v>51</v>
      </c>
      <c r="AY43" s="354">
        <v>34</v>
      </c>
      <c r="AZ43" s="354"/>
      <c r="BA43" s="358"/>
      <c r="BB43" s="358"/>
      <c r="BC43" s="358"/>
      <c r="BD43" s="358">
        <f t="shared" si="57"/>
        <v>17</v>
      </c>
      <c r="BE43" s="357">
        <f t="shared" si="58"/>
        <v>68</v>
      </c>
      <c r="BF43" s="358">
        <v>48</v>
      </c>
      <c r="BG43" s="358"/>
      <c r="BH43" s="358"/>
      <c r="BI43" s="358"/>
      <c r="BJ43" s="358"/>
      <c r="BK43" s="358">
        <v>20</v>
      </c>
      <c r="BL43" s="357">
        <f t="shared" si="60"/>
        <v>0</v>
      </c>
      <c r="BM43" s="358"/>
      <c r="BN43" s="358"/>
      <c r="BO43" s="358"/>
      <c r="BP43" s="358"/>
      <c r="BQ43" s="358"/>
      <c r="BR43" s="358"/>
      <c r="BS43" s="357">
        <f t="shared" si="61"/>
        <v>0</v>
      </c>
      <c r="BT43" s="358"/>
      <c r="BU43" s="358"/>
      <c r="BV43" s="358"/>
      <c r="BW43" s="358"/>
      <c r="BX43" s="358"/>
      <c r="BY43" s="358"/>
      <c r="BZ43" s="357">
        <f t="shared" si="62"/>
        <v>0</v>
      </c>
      <c r="CA43" s="358"/>
      <c r="CB43" s="358"/>
      <c r="CC43" s="358"/>
      <c r="CD43" s="358"/>
      <c r="CE43" s="358"/>
      <c r="CF43" s="358"/>
      <c r="CG43" s="358"/>
      <c r="CH43" s="357">
        <f t="shared" si="63"/>
        <v>0</v>
      </c>
      <c r="CI43" s="358"/>
      <c r="CJ43" s="358"/>
      <c r="CK43" s="358"/>
      <c r="CL43" s="358"/>
      <c r="CM43" s="358"/>
      <c r="CN43" s="358"/>
      <c r="CO43" s="358"/>
      <c r="CP43" s="373" t="s">
        <v>409</v>
      </c>
      <c r="CQ43" s="372" t="s">
        <v>301</v>
      </c>
      <c r="CR43" s="379"/>
    </row>
    <row r="44" spans="1:98" s="487" customFormat="1" ht="25.5" customHeight="1">
      <c r="A44" s="347" t="s">
        <v>443</v>
      </c>
      <c r="B44" s="351" t="s">
        <v>229</v>
      </c>
      <c r="C44" s="352"/>
      <c r="D44" s="353"/>
      <c r="E44" s="353" t="s">
        <v>38</v>
      </c>
      <c r="F44" s="353"/>
      <c r="G44" s="353"/>
      <c r="H44" s="353"/>
      <c r="I44" s="353"/>
      <c r="J44" s="450"/>
      <c r="K44" s="450"/>
      <c r="L44" s="358"/>
      <c r="M44" s="358"/>
      <c r="N44" s="356">
        <f t="shared" si="64"/>
        <v>86</v>
      </c>
      <c r="O44" s="356">
        <f t="shared" si="65"/>
        <v>57</v>
      </c>
      <c r="P44" s="356">
        <f t="shared" si="49"/>
        <v>57</v>
      </c>
      <c r="Q44" s="356">
        <f t="shared" si="49"/>
        <v>0</v>
      </c>
      <c r="R44" s="356">
        <f t="shared" si="49"/>
        <v>0</v>
      </c>
      <c r="S44" s="356">
        <f t="shared" si="49"/>
        <v>0</v>
      </c>
      <c r="T44" s="356">
        <f t="shared" si="49"/>
        <v>0</v>
      </c>
      <c r="U44" s="356">
        <f t="shared" si="49"/>
        <v>29</v>
      </c>
      <c r="V44" s="357">
        <f t="shared" si="50"/>
        <v>0</v>
      </c>
      <c r="W44" s="358"/>
      <c r="X44" s="358"/>
      <c r="Y44" s="358"/>
      <c r="Z44" s="358"/>
      <c r="AA44" s="358"/>
      <c r="AB44" s="358"/>
      <c r="AC44" s="357">
        <f t="shared" si="51"/>
        <v>0</v>
      </c>
      <c r="AD44" s="358"/>
      <c r="AE44" s="358"/>
      <c r="AF44" s="358"/>
      <c r="AG44" s="358"/>
      <c r="AH44" s="358"/>
      <c r="AI44" s="358"/>
      <c r="AJ44" s="357">
        <f t="shared" si="52"/>
        <v>0</v>
      </c>
      <c r="AK44" s="358"/>
      <c r="AL44" s="358"/>
      <c r="AM44" s="358"/>
      <c r="AN44" s="358"/>
      <c r="AO44" s="358"/>
      <c r="AP44" s="358">
        <f t="shared" si="53"/>
        <v>0</v>
      </c>
      <c r="AQ44" s="357">
        <f t="shared" si="54"/>
        <v>86</v>
      </c>
      <c r="AR44" s="354">
        <v>57</v>
      </c>
      <c r="AS44" s="354"/>
      <c r="AT44" s="358"/>
      <c r="AU44" s="358"/>
      <c r="AV44" s="358"/>
      <c r="AW44" s="358">
        <f t="shared" si="55"/>
        <v>29</v>
      </c>
      <c r="AX44" s="357">
        <f t="shared" si="56"/>
        <v>0</v>
      </c>
      <c r="AY44" s="358"/>
      <c r="AZ44" s="354"/>
      <c r="BA44" s="358"/>
      <c r="BB44" s="358"/>
      <c r="BC44" s="358"/>
      <c r="BD44" s="358">
        <f t="shared" si="57"/>
        <v>0</v>
      </c>
      <c r="BE44" s="357">
        <f t="shared" si="58"/>
        <v>0</v>
      </c>
      <c r="BF44" s="358"/>
      <c r="BG44" s="358"/>
      <c r="BH44" s="358"/>
      <c r="BI44" s="358"/>
      <c r="BJ44" s="358"/>
      <c r="BK44" s="358">
        <f t="shared" si="59"/>
        <v>0</v>
      </c>
      <c r="BL44" s="357">
        <f t="shared" si="60"/>
        <v>0</v>
      </c>
      <c r="BM44" s="358"/>
      <c r="BN44" s="358"/>
      <c r="BO44" s="358"/>
      <c r="BP44" s="358"/>
      <c r="BQ44" s="358"/>
      <c r="BR44" s="358"/>
      <c r="BS44" s="357">
        <f t="shared" si="61"/>
        <v>0</v>
      </c>
      <c r="BT44" s="358"/>
      <c r="BU44" s="358"/>
      <c r="BV44" s="358"/>
      <c r="BW44" s="358"/>
      <c r="BX44" s="358"/>
      <c r="BY44" s="358"/>
      <c r="BZ44" s="357">
        <f t="shared" si="62"/>
        <v>0</v>
      </c>
      <c r="CA44" s="358"/>
      <c r="CB44" s="358"/>
      <c r="CC44" s="358"/>
      <c r="CD44" s="358"/>
      <c r="CE44" s="358"/>
      <c r="CF44" s="358"/>
      <c r="CG44" s="358"/>
      <c r="CH44" s="357">
        <f t="shared" si="63"/>
        <v>0</v>
      </c>
      <c r="CI44" s="358"/>
      <c r="CJ44" s="358"/>
      <c r="CK44" s="358"/>
      <c r="CL44" s="358"/>
      <c r="CM44" s="358"/>
      <c r="CN44" s="358"/>
      <c r="CO44" s="358"/>
      <c r="CP44" s="353" t="s">
        <v>411</v>
      </c>
      <c r="CQ44" s="372" t="s">
        <v>291</v>
      </c>
      <c r="CR44" s="379"/>
      <c r="CS44" s="368"/>
      <c r="CT44" s="368"/>
    </row>
    <row r="45" spans="1:98" s="487" customFormat="1" ht="25.5" customHeight="1">
      <c r="A45" s="347" t="s">
        <v>444</v>
      </c>
      <c r="B45" s="352" t="s">
        <v>99</v>
      </c>
      <c r="C45" s="352"/>
      <c r="D45" s="353"/>
      <c r="E45" s="353" t="s">
        <v>39</v>
      </c>
      <c r="F45" s="353"/>
      <c r="G45" s="353"/>
      <c r="H45" s="353"/>
      <c r="I45" s="353"/>
      <c r="J45" s="450"/>
      <c r="K45" s="450"/>
      <c r="L45" s="358"/>
      <c r="M45" s="358">
        <v>68</v>
      </c>
      <c r="N45" s="356">
        <f t="shared" si="64"/>
        <v>103</v>
      </c>
      <c r="O45" s="356">
        <f>SUM(P45:R45)</f>
        <v>68</v>
      </c>
      <c r="P45" s="356">
        <f t="shared" si="49"/>
        <v>68</v>
      </c>
      <c r="Q45" s="356">
        <f t="shared" si="49"/>
        <v>0</v>
      </c>
      <c r="R45" s="356">
        <f t="shared" si="49"/>
        <v>0</v>
      </c>
      <c r="S45" s="356">
        <f t="shared" si="49"/>
        <v>0</v>
      </c>
      <c r="T45" s="356">
        <f t="shared" si="49"/>
        <v>0</v>
      </c>
      <c r="U45" s="356">
        <f t="shared" si="49"/>
        <v>35</v>
      </c>
      <c r="V45" s="357">
        <f t="shared" si="50"/>
        <v>0</v>
      </c>
      <c r="W45" s="358"/>
      <c r="X45" s="358"/>
      <c r="Y45" s="358"/>
      <c r="Z45" s="358"/>
      <c r="AA45" s="358"/>
      <c r="AB45" s="358"/>
      <c r="AC45" s="357">
        <f t="shared" si="51"/>
        <v>0</v>
      </c>
      <c r="AD45" s="358"/>
      <c r="AE45" s="358"/>
      <c r="AF45" s="358"/>
      <c r="AG45" s="358"/>
      <c r="AH45" s="358"/>
      <c r="AI45" s="358"/>
      <c r="AJ45" s="357">
        <f t="shared" si="52"/>
        <v>0</v>
      </c>
      <c r="AK45" s="358"/>
      <c r="AL45" s="358"/>
      <c r="AM45" s="358"/>
      <c r="AN45" s="358"/>
      <c r="AO45" s="358"/>
      <c r="AP45" s="358">
        <f t="shared" si="53"/>
        <v>0</v>
      </c>
      <c r="AQ45" s="357">
        <f t="shared" si="54"/>
        <v>0</v>
      </c>
      <c r="AR45" s="354"/>
      <c r="AS45" s="354"/>
      <c r="AT45" s="354"/>
      <c r="AU45" s="354"/>
      <c r="AV45" s="354"/>
      <c r="AW45" s="358">
        <f t="shared" si="55"/>
        <v>0</v>
      </c>
      <c r="AX45" s="357">
        <f t="shared" si="56"/>
        <v>103</v>
      </c>
      <c r="AY45" s="354">
        <v>68</v>
      </c>
      <c r="AZ45" s="354"/>
      <c r="BA45" s="358"/>
      <c r="BB45" s="358"/>
      <c r="BC45" s="358"/>
      <c r="BD45" s="358">
        <v>35</v>
      </c>
      <c r="BE45" s="357">
        <f t="shared" si="58"/>
        <v>0</v>
      </c>
      <c r="BF45" s="358"/>
      <c r="BG45" s="358"/>
      <c r="BH45" s="358"/>
      <c r="BI45" s="358"/>
      <c r="BJ45" s="358"/>
      <c r="BK45" s="358">
        <f t="shared" si="59"/>
        <v>0</v>
      </c>
      <c r="BL45" s="357">
        <f t="shared" si="60"/>
        <v>0</v>
      </c>
      <c r="BM45" s="358"/>
      <c r="BN45" s="358"/>
      <c r="BO45" s="358"/>
      <c r="BP45" s="358"/>
      <c r="BQ45" s="358"/>
      <c r="BR45" s="358"/>
      <c r="BS45" s="357">
        <f t="shared" si="61"/>
        <v>0</v>
      </c>
      <c r="BT45" s="358"/>
      <c r="BU45" s="358"/>
      <c r="BV45" s="358"/>
      <c r="BW45" s="358"/>
      <c r="BX45" s="358"/>
      <c r="BY45" s="358"/>
      <c r="BZ45" s="357">
        <f t="shared" si="62"/>
        <v>0</v>
      </c>
      <c r="CA45" s="358"/>
      <c r="CB45" s="358"/>
      <c r="CC45" s="358"/>
      <c r="CD45" s="358"/>
      <c r="CE45" s="358"/>
      <c r="CF45" s="358"/>
      <c r="CG45" s="358"/>
      <c r="CH45" s="357">
        <f t="shared" si="63"/>
        <v>0</v>
      </c>
      <c r="CI45" s="358"/>
      <c r="CJ45" s="358"/>
      <c r="CK45" s="358"/>
      <c r="CL45" s="358"/>
      <c r="CM45" s="358"/>
      <c r="CN45" s="358"/>
      <c r="CO45" s="358"/>
      <c r="CP45" s="353" t="s">
        <v>412</v>
      </c>
      <c r="CQ45" s="353" t="s">
        <v>291</v>
      </c>
      <c r="CR45" s="379"/>
      <c r="CS45" s="368"/>
      <c r="CT45" s="368"/>
    </row>
    <row r="46" spans="1:97" s="380" customFormat="1" ht="32.25" customHeight="1">
      <c r="A46" s="382" t="s">
        <v>129</v>
      </c>
      <c r="B46" s="584" t="s">
        <v>131</v>
      </c>
      <c r="C46" s="585"/>
      <c r="D46" s="585"/>
      <c r="E46" s="585"/>
      <c r="F46" s="585"/>
      <c r="G46" s="585"/>
      <c r="H46" s="585"/>
      <c r="I46" s="586"/>
      <c r="J46" s="449">
        <f>K46*O46</f>
        <v>1850.8144989339</v>
      </c>
      <c r="K46" s="449">
        <f>L46/M46</f>
        <v>1.50106609808102</v>
      </c>
      <c r="L46" s="387">
        <f>Нормы!D14</f>
        <v>1408</v>
      </c>
      <c r="M46" s="387">
        <f>Нормы!E14</f>
        <v>938</v>
      </c>
      <c r="N46" s="388">
        <f aca="true" t="shared" si="66" ref="N46:U46">SUM(N47:N63)/2</f>
        <v>1850</v>
      </c>
      <c r="O46" s="388">
        <f t="shared" si="66"/>
        <v>1233</v>
      </c>
      <c r="P46" s="388">
        <f t="shared" si="66"/>
        <v>1087</v>
      </c>
      <c r="Q46" s="388">
        <f t="shared" si="66"/>
        <v>106</v>
      </c>
      <c r="R46" s="388">
        <f t="shared" si="66"/>
        <v>40</v>
      </c>
      <c r="S46" s="388"/>
      <c r="T46" s="388">
        <f t="shared" si="66"/>
        <v>0</v>
      </c>
      <c r="U46" s="388">
        <f t="shared" si="66"/>
        <v>617</v>
      </c>
      <c r="V46" s="388">
        <f aca="true" t="shared" si="67" ref="V46:AB46">SUM(V47:V63)/2</f>
        <v>0</v>
      </c>
      <c r="W46" s="388">
        <f t="shared" si="67"/>
        <v>0</v>
      </c>
      <c r="X46" s="388">
        <f t="shared" si="67"/>
        <v>0</v>
      </c>
      <c r="Y46" s="388">
        <f t="shared" si="67"/>
        <v>0</v>
      </c>
      <c r="Z46" s="388"/>
      <c r="AA46" s="388">
        <f t="shared" si="67"/>
        <v>0</v>
      </c>
      <c r="AB46" s="388">
        <f t="shared" si="67"/>
        <v>0</v>
      </c>
      <c r="AC46" s="388">
        <f aca="true" t="shared" si="68" ref="AC46:AI46">SUM(AC47:AC63)/2</f>
        <v>0</v>
      </c>
      <c r="AD46" s="388">
        <f t="shared" si="68"/>
        <v>0</v>
      </c>
      <c r="AE46" s="388">
        <f t="shared" si="68"/>
        <v>0</v>
      </c>
      <c r="AF46" s="388">
        <f t="shared" si="68"/>
        <v>0</v>
      </c>
      <c r="AG46" s="388"/>
      <c r="AH46" s="388">
        <f t="shared" si="68"/>
        <v>0</v>
      </c>
      <c r="AI46" s="388">
        <f t="shared" si="68"/>
        <v>0</v>
      </c>
      <c r="AJ46" s="388">
        <f aca="true" t="shared" si="69" ref="AJ46:AP46">SUM(AJ47:AJ63)/2</f>
        <v>0</v>
      </c>
      <c r="AK46" s="388">
        <f t="shared" si="69"/>
        <v>0</v>
      </c>
      <c r="AL46" s="388">
        <f t="shared" si="69"/>
        <v>0</v>
      </c>
      <c r="AM46" s="388">
        <f t="shared" si="69"/>
        <v>0</v>
      </c>
      <c r="AN46" s="388"/>
      <c r="AO46" s="388">
        <f t="shared" si="69"/>
        <v>0</v>
      </c>
      <c r="AP46" s="388">
        <f t="shared" si="69"/>
        <v>0</v>
      </c>
      <c r="AQ46" s="388">
        <f aca="true" t="shared" si="70" ref="AQ46:AW46">SUM(AQ47:AQ63)/2</f>
        <v>285</v>
      </c>
      <c r="AR46" s="388">
        <f t="shared" si="70"/>
        <v>152</v>
      </c>
      <c r="AS46" s="388">
        <f t="shared" si="70"/>
        <v>38</v>
      </c>
      <c r="AT46" s="388">
        <f t="shared" si="70"/>
        <v>0</v>
      </c>
      <c r="AU46" s="388"/>
      <c r="AV46" s="388">
        <f t="shared" si="70"/>
        <v>0</v>
      </c>
      <c r="AW46" s="388">
        <f t="shared" si="70"/>
        <v>95</v>
      </c>
      <c r="AX46" s="388">
        <f aca="true" t="shared" si="71" ref="AX46:BD46">SUM(AX47:AX63)/2</f>
        <v>283</v>
      </c>
      <c r="AY46" s="388">
        <f t="shared" si="71"/>
        <v>187</v>
      </c>
      <c r="AZ46" s="388">
        <f t="shared" si="71"/>
        <v>0</v>
      </c>
      <c r="BA46" s="388">
        <f t="shared" si="71"/>
        <v>0</v>
      </c>
      <c r="BB46" s="388"/>
      <c r="BC46" s="388">
        <f t="shared" si="71"/>
        <v>0</v>
      </c>
      <c r="BD46" s="388">
        <f t="shared" si="71"/>
        <v>96</v>
      </c>
      <c r="BE46" s="388">
        <f aca="true" t="shared" si="72" ref="BE46:BK46">SUM(BE47:BE63)/2</f>
        <v>360</v>
      </c>
      <c r="BF46" s="388">
        <f t="shared" si="72"/>
        <v>240</v>
      </c>
      <c r="BG46" s="388">
        <f t="shared" si="72"/>
        <v>0</v>
      </c>
      <c r="BH46" s="388">
        <f t="shared" si="72"/>
        <v>0</v>
      </c>
      <c r="BI46" s="388"/>
      <c r="BJ46" s="388">
        <f t="shared" si="72"/>
        <v>0</v>
      </c>
      <c r="BK46" s="388">
        <f t="shared" si="72"/>
        <v>120</v>
      </c>
      <c r="BL46" s="388">
        <f aca="true" t="shared" si="73" ref="BL46:BR46">SUM(BL47:BL63)/2</f>
        <v>382</v>
      </c>
      <c r="BM46" s="388">
        <f t="shared" si="73"/>
        <v>240</v>
      </c>
      <c r="BN46" s="388">
        <f t="shared" si="73"/>
        <v>16</v>
      </c>
      <c r="BO46" s="388">
        <f t="shared" si="73"/>
        <v>0</v>
      </c>
      <c r="BP46" s="388"/>
      <c r="BQ46" s="388">
        <f t="shared" si="73"/>
        <v>0</v>
      </c>
      <c r="BR46" s="388">
        <f t="shared" si="73"/>
        <v>126</v>
      </c>
      <c r="BS46" s="388">
        <f aca="true" t="shared" si="74" ref="BS46:BY46">SUM(BS47:BS63)/2</f>
        <v>540</v>
      </c>
      <c r="BT46" s="388">
        <f t="shared" si="74"/>
        <v>268</v>
      </c>
      <c r="BU46" s="388">
        <f t="shared" si="74"/>
        <v>52</v>
      </c>
      <c r="BV46" s="388">
        <f t="shared" si="74"/>
        <v>40</v>
      </c>
      <c r="BW46" s="388"/>
      <c r="BX46" s="388">
        <f t="shared" si="74"/>
        <v>0</v>
      </c>
      <c r="BY46" s="388">
        <f t="shared" si="74"/>
        <v>180</v>
      </c>
      <c r="BZ46" s="388">
        <f aca="true" t="shared" si="75" ref="BZ46:CG46">SUM(BZ47:BZ63)/2</f>
        <v>0</v>
      </c>
      <c r="CA46" s="388"/>
      <c r="CB46" s="388">
        <f t="shared" si="75"/>
        <v>0</v>
      </c>
      <c r="CC46" s="388">
        <f t="shared" si="75"/>
        <v>0</v>
      </c>
      <c r="CD46" s="388">
        <f t="shared" si="75"/>
        <v>0</v>
      </c>
      <c r="CE46" s="388">
        <f t="shared" si="75"/>
        <v>0</v>
      </c>
      <c r="CF46" s="388">
        <f t="shared" si="75"/>
        <v>0</v>
      </c>
      <c r="CG46" s="388">
        <f t="shared" si="75"/>
        <v>0</v>
      </c>
      <c r="CH46" s="388">
        <f aca="true" t="shared" si="76" ref="CH46:CO46">SUM(CH47:CH63)/2</f>
        <v>0</v>
      </c>
      <c r="CI46" s="388">
        <f t="shared" si="76"/>
        <v>0</v>
      </c>
      <c r="CJ46" s="388">
        <f t="shared" si="76"/>
        <v>0</v>
      </c>
      <c r="CK46" s="388">
        <f t="shared" si="76"/>
        <v>0</v>
      </c>
      <c r="CL46" s="388">
        <f t="shared" si="76"/>
        <v>0</v>
      </c>
      <c r="CM46" s="388">
        <f t="shared" si="76"/>
        <v>0</v>
      </c>
      <c r="CN46" s="388">
        <f t="shared" si="76"/>
        <v>0</v>
      </c>
      <c r="CO46" s="388">
        <f t="shared" si="76"/>
        <v>0</v>
      </c>
      <c r="CP46" s="389"/>
      <c r="CQ46" s="393">
        <v>0</v>
      </c>
      <c r="CR46" s="428"/>
      <c r="CS46" s="435">
        <f>SUM(N46-L46)</f>
        <v>442</v>
      </c>
    </row>
    <row r="47" spans="1:96" s="368" customFormat="1" ht="37.5" customHeight="1">
      <c r="A47" s="383" t="s">
        <v>137</v>
      </c>
      <c r="B47" s="564" t="s">
        <v>230</v>
      </c>
      <c r="C47" s="565"/>
      <c r="D47" s="565"/>
      <c r="E47" s="565"/>
      <c r="F47" s="565"/>
      <c r="G47" s="565"/>
      <c r="H47" s="565"/>
      <c r="I47" s="566"/>
      <c r="J47" s="452"/>
      <c r="K47" s="452"/>
      <c r="L47" s="374"/>
      <c r="M47" s="374"/>
      <c r="N47" s="375">
        <f>O47+SUM(U47:U47)</f>
        <v>708</v>
      </c>
      <c r="O47" s="375">
        <f>SUM(P47:T47)</f>
        <v>472</v>
      </c>
      <c r="P47" s="375">
        <f aca="true" t="shared" si="77" ref="P47:R50">W47+AD47+AK47+AR47+AY47+BF47+BM47+BT47+CB47+CJ47</f>
        <v>412</v>
      </c>
      <c r="Q47" s="375">
        <f t="shared" si="77"/>
        <v>40</v>
      </c>
      <c r="R47" s="375">
        <f t="shared" si="77"/>
        <v>20</v>
      </c>
      <c r="S47" s="375"/>
      <c r="T47" s="375">
        <f>AA47+AH47+AO47+AV47+BC47+BJ47+BQ47+BX47+CE47+CM47</f>
        <v>0</v>
      </c>
      <c r="U47" s="375">
        <f>AB47+AI47+AP47+AW47+BD47+BK47+BR47+BY47+CG47+CO47</f>
        <v>236</v>
      </c>
      <c r="V47" s="375">
        <f>SUM(W47:AB47)</f>
        <v>0</v>
      </c>
      <c r="W47" s="375">
        <f>SUM(W48:W50)</f>
        <v>0</v>
      </c>
      <c r="X47" s="375">
        <f>SUM(X48:X50)</f>
        <v>0</v>
      </c>
      <c r="Y47" s="375">
        <f>SUM(Y48:Y50)</f>
        <v>0</v>
      </c>
      <c r="Z47" s="375"/>
      <c r="AA47" s="375">
        <f>SUM(AA48:AA50)</f>
        <v>0</v>
      </c>
      <c r="AB47" s="375">
        <f>SUM(AB48:AB50)</f>
        <v>0</v>
      </c>
      <c r="AC47" s="375">
        <f>SUM(AD47:AI47)</f>
        <v>0</v>
      </c>
      <c r="AD47" s="375">
        <f>SUM(AD48:AD50)</f>
        <v>0</v>
      </c>
      <c r="AE47" s="375">
        <f>SUM(AE48:AE50)</f>
        <v>0</v>
      </c>
      <c r="AF47" s="375">
        <f>SUM(AF48:AF50)</f>
        <v>0</v>
      </c>
      <c r="AG47" s="375"/>
      <c r="AH47" s="375">
        <f>SUM(AH48:AH50)</f>
        <v>0</v>
      </c>
      <c r="AI47" s="375">
        <f>SUM(AI48:AI50)</f>
        <v>0</v>
      </c>
      <c r="AJ47" s="375">
        <f>SUM(AK47:AP47)</f>
        <v>0</v>
      </c>
      <c r="AK47" s="375">
        <f>SUM(AK48:AK50)</f>
        <v>0</v>
      </c>
      <c r="AL47" s="375">
        <f>SUM(AL48:AL50)</f>
        <v>0</v>
      </c>
      <c r="AM47" s="375">
        <f>SUM(AM48:AM50)</f>
        <v>0</v>
      </c>
      <c r="AN47" s="375"/>
      <c r="AO47" s="375">
        <f>SUM(AO48:AO50)</f>
        <v>0</v>
      </c>
      <c r="AP47" s="375">
        <f>SUM(AP48:AP50)</f>
        <v>0</v>
      </c>
      <c r="AQ47" s="375">
        <f>SUM(AR47:AW47)</f>
        <v>0</v>
      </c>
      <c r="AR47" s="375">
        <f>SUM(AR48:AR50)</f>
        <v>0</v>
      </c>
      <c r="AS47" s="375">
        <f>SUM(AS48:AS50)</f>
        <v>0</v>
      </c>
      <c r="AT47" s="375">
        <f>SUM(AT48:AT50)</f>
        <v>0</v>
      </c>
      <c r="AU47" s="375"/>
      <c r="AV47" s="375">
        <f>SUM(AV48:AV50)</f>
        <v>0</v>
      </c>
      <c r="AW47" s="375">
        <f>SUM(AW48:AW50)</f>
        <v>0</v>
      </c>
      <c r="AX47" s="375">
        <f>SUM(AY47:BD47)</f>
        <v>206</v>
      </c>
      <c r="AY47" s="375">
        <f>SUM(AY48:AY50)</f>
        <v>136</v>
      </c>
      <c r="AZ47" s="375">
        <f>SUM(AZ48:AZ50)</f>
        <v>0</v>
      </c>
      <c r="BA47" s="375">
        <f>SUM(BA48:BA50)</f>
        <v>0</v>
      </c>
      <c r="BB47" s="375"/>
      <c r="BC47" s="375">
        <f>SUM(BC48:BC50)</f>
        <v>0</v>
      </c>
      <c r="BD47" s="375">
        <f>SUM(BD48:BD50)</f>
        <v>70</v>
      </c>
      <c r="BE47" s="375">
        <f>SUM(BF47:BK47)</f>
        <v>252</v>
      </c>
      <c r="BF47" s="375">
        <f>SUM(BF48:BF50)</f>
        <v>168</v>
      </c>
      <c r="BG47" s="375">
        <f>SUM(BG48:BG50)</f>
        <v>0</v>
      </c>
      <c r="BH47" s="375">
        <f>SUM(BH48:BH50)</f>
        <v>0</v>
      </c>
      <c r="BI47" s="375"/>
      <c r="BJ47" s="375">
        <f>SUM(BJ48:BJ50)</f>
        <v>0</v>
      </c>
      <c r="BK47" s="375">
        <f>SUM(BK48:BK50)</f>
        <v>84</v>
      </c>
      <c r="BL47" s="375">
        <f>SUM(BM47:BR47)</f>
        <v>142</v>
      </c>
      <c r="BM47" s="375">
        <f>SUM(BM48:BM50)</f>
        <v>80</v>
      </c>
      <c r="BN47" s="375">
        <f>SUM(BN48:BN50)</f>
        <v>16</v>
      </c>
      <c r="BO47" s="375">
        <f>SUM(BO48:BO50)</f>
        <v>0</v>
      </c>
      <c r="BP47" s="375"/>
      <c r="BQ47" s="375">
        <f>SUM(BQ48:BQ50)</f>
        <v>0</v>
      </c>
      <c r="BR47" s="375">
        <f>SUM(BR48:BR50)</f>
        <v>46</v>
      </c>
      <c r="BS47" s="375">
        <f>SUM(BT47:BY47)</f>
        <v>108</v>
      </c>
      <c r="BT47" s="375">
        <f>SUM(BT48:BT50)</f>
        <v>28</v>
      </c>
      <c r="BU47" s="375">
        <f>SUM(BU48:BU50)</f>
        <v>24</v>
      </c>
      <c r="BV47" s="375">
        <f>SUM(BV48:BV50)</f>
        <v>20</v>
      </c>
      <c r="BW47" s="375"/>
      <c r="BX47" s="375">
        <f>SUM(BX48:BX50)</f>
        <v>0</v>
      </c>
      <c r="BY47" s="375">
        <f>SUM(BY48:BY50)</f>
        <v>36</v>
      </c>
      <c r="BZ47" s="375">
        <f>SUM(CA47:CG47)</f>
        <v>0</v>
      </c>
      <c r="CA47" s="375"/>
      <c r="CB47" s="375">
        <f aca="true" t="shared" si="78" ref="CB47:CG47">SUM(CB48:CB50)</f>
        <v>0</v>
      </c>
      <c r="CC47" s="375">
        <f t="shared" si="78"/>
        <v>0</v>
      </c>
      <c r="CD47" s="375">
        <f t="shared" si="78"/>
        <v>0</v>
      </c>
      <c r="CE47" s="375">
        <f t="shared" si="78"/>
        <v>0</v>
      </c>
      <c r="CF47" s="375">
        <f t="shared" si="78"/>
        <v>0</v>
      </c>
      <c r="CG47" s="375">
        <f t="shared" si="78"/>
        <v>0</v>
      </c>
      <c r="CH47" s="375">
        <f>SUM(CI47:CO47)</f>
        <v>0</v>
      </c>
      <c r="CI47" s="375">
        <f aca="true" t="shared" si="79" ref="CI47:CO47">SUM(CI48:CI50)</f>
        <v>0</v>
      </c>
      <c r="CJ47" s="375">
        <f t="shared" si="79"/>
        <v>0</v>
      </c>
      <c r="CK47" s="375">
        <f t="shared" si="79"/>
        <v>0</v>
      </c>
      <c r="CL47" s="375">
        <f t="shared" si="79"/>
        <v>0</v>
      </c>
      <c r="CM47" s="375">
        <f t="shared" si="79"/>
        <v>0</v>
      </c>
      <c r="CN47" s="375">
        <f t="shared" si="79"/>
        <v>0</v>
      </c>
      <c r="CO47" s="375">
        <f t="shared" si="79"/>
        <v>0</v>
      </c>
      <c r="CP47" s="375" t="s">
        <v>544</v>
      </c>
      <c r="CQ47" s="374" t="s">
        <v>302</v>
      </c>
      <c r="CR47" s="379"/>
    </row>
    <row r="48" spans="1:96" s="368" customFormat="1" ht="35.25" customHeight="1">
      <c r="A48" s="347" t="s">
        <v>449</v>
      </c>
      <c r="B48" s="352" t="s">
        <v>231</v>
      </c>
      <c r="C48" s="352"/>
      <c r="D48" s="373" t="s">
        <v>40</v>
      </c>
      <c r="E48" s="373" t="s">
        <v>36</v>
      </c>
      <c r="F48" s="373"/>
      <c r="G48" s="373"/>
      <c r="H48" s="373" t="s">
        <v>36</v>
      </c>
      <c r="I48" s="373" t="s">
        <v>459</v>
      </c>
      <c r="J48" s="450"/>
      <c r="K48" s="450"/>
      <c r="L48" s="358"/>
      <c r="M48" s="358"/>
      <c r="N48" s="356">
        <f>O48+SUM(U48)</f>
        <v>365</v>
      </c>
      <c r="O48" s="356">
        <f>SUM(P48:R48)</f>
        <v>244</v>
      </c>
      <c r="P48" s="356">
        <f t="shared" si="77"/>
        <v>200</v>
      </c>
      <c r="Q48" s="356">
        <f t="shared" si="77"/>
        <v>24</v>
      </c>
      <c r="R48" s="356">
        <f t="shared" si="77"/>
        <v>20</v>
      </c>
      <c r="S48" s="356">
        <f aca="true" t="shared" si="80" ref="S48:T50">Z48+AG48+AN48+AU48+BB48+BI48+BP48+BW48+CE48+CM48</f>
        <v>0</v>
      </c>
      <c r="T48" s="356">
        <f t="shared" si="80"/>
        <v>0</v>
      </c>
      <c r="U48" s="356">
        <f>AB48+AI48+AP48+AW48+BD48+BK48+BR48+BY48+CG48+CO48</f>
        <v>121</v>
      </c>
      <c r="V48" s="357">
        <f>SUM(W48:AB48)</f>
        <v>0</v>
      </c>
      <c r="W48" s="358"/>
      <c r="X48" s="358"/>
      <c r="Y48" s="358"/>
      <c r="Z48" s="358"/>
      <c r="AA48" s="358"/>
      <c r="AB48" s="358"/>
      <c r="AC48" s="357">
        <f>SUM(AD48:AI48)</f>
        <v>0</v>
      </c>
      <c r="AD48" s="358"/>
      <c r="AE48" s="358"/>
      <c r="AF48" s="358"/>
      <c r="AG48" s="358"/>
      <c r="AH48" s="358"/>
      <c r="AI48" s="358"/>
      <c r="AJ48" s="357">
        <f>SUM(AK48:AP48)</f>
        <v>0</v>
      </c>
      <c r="AK48" s="358"/>
      <c r="AL48" s="358"/>
      <c r="AM48" s="358"/>
      <c r="AN48" s="358"/>
      <c r="AO48" s="358"/>
      <c r="AP48" s="358"/>
      <c r="AQ48" s="357">
        <f>SUM(AR48:AW48)</f>
        <v>0</v>
      </c>
      <c r="AR48" s="358"/>
      <c r="AS48" s="358"/>
      <c r="AT48" s="358"/>
      <c r="AU48" s="358"/>
      <c r="AV48" s="358"/>
      <c r="AW48" s="358"/>
      <c r="AX48" s="357">
        <f>SUM(AY48:BD48)</f>
        <v>103</v>
      </c>
      <c r="AY48" s="358">
        <v>68</v>
      </c>
      <c r="AZ48" s="358"/>
      <c r="BA48" s="358"/>
      <c r="BB48" s="358"/>
      <c r="BC48" s="358"/>
      <c r="BD48" s="358">
        <v>35</v>
      </c>
      <c r="BE48" s="357">
        <f>SUM(BF48:BK48)</f>
        <v>108</v>
      </c>
      <c r="BF48" s="358">
        <v>72</v>
      </c>
      <c r="BG48" s="358"/>
      <c r="BH48" s="358"/>
      <c r="BI48" s="358"/>
      <c r="BJ48" s="358"/>
      <c r="BK48" s="358">
        <f>(SUM(BF48:BI48)/2)</f>
        <v>36</v>
      </c>
      <c r="BL48" s="357">
        <f>SUM(BM48:BR48)</f>
        <v>46</v>
      </c>
      <c r="BM48" s="358">
        <v>32</v>
      </c>
      <c r="BN48" s="358"/>
      <c r="BO48" s="358"/>
      <c r="BP48" s="358"/>
      <c r="BQ48" s="358"/>
      <c r="BR48" s="358">
        <v>14</v>
      </c>
      <c r="BS48" s="357">
        <f>SUM(BT48:BY48)</f>
        <v>108</v>
      </c>
      <c r="BT48" s="354">
        <v>28</v>
      </c>
      <c r="BU48" s="354">
        <v>24</v>
      </c>
      <c r="BV48" s="354">
        <v>20</v>
      </c>
      <c r="BW48" s="358"/>
      <c r="BX48" s="358"/>
      <c r="BY48" s="358">
        <f>(SUM(BT48:BW48)/2)</f>
        <v>36</v>
      </c>
      <c r="BZ48" s="357">
        <f>SUM(CA48:CG48)</f>
        <v>0</v>
      </c>
      <c r="CA48" s="358"/>
      <c r="CB48" s="358"/>
      <c r="CC48" s="358"/>
      <c r="CD48" s="358"/>
      <c r="CE48" s="358"/>
      <c r="CF48" s="358"/>
      <c r="CG48" s="358"/>
      <c r="CH48" s="357">
        <f>SUM(CI48:CO48)</f>
        <v>0</v>
      </c>
      <c r="CI48" s="358"/>
      <c r="CJ48" s="358"/>
      <c r="CK48" s="358"/>
      <c r="CL48" s="358"/>
      <c r="CM48" s="358"/>
      <c r="CN48" s="358"/>
      <c r="CO48" s="358"/>
      <c r="CP48" s="353" t="s">
        <v>544</v>
      </c>
      <c r="CQ48" s="372" t="s">
        <v>302</v>
      </c>
      <c r="CR48" s="379"/>
    </row>
    <row r="49" spans="1:96" s="368" customFormat="1" ht="57.75" customHeight="1">
      <c r="A49" s="347" t="s">
        <v>448</v>
      </c>
      <c r="B49" s="352" t="s">
        <v>232</v>
      </c>
      <c r="C49" s="352"/>
      <c r="D49" s="373"/>
      <c r="E49" s="373" t="s">
        <v>566</v>
      </c>
      <c r="F49" s="373"/>
      <c r="G49" s="373"/>
      <c r="H49" s="373"/>
      <c r="I49" s="373"/>
      <c r="J49" s="450"/>
      <c r="K49" s="450"/>
      <c r="L49" s="358"/>
      <c r="M49" s="358"/>
      <c r="N49" s="356">
        <f>O49+SUM(U49)</f>
        <v>211</v>
      </c>
      <c r="O49" s="356">
        <f>SUM(P49:R49)</f>
        <v>140</v>
      </c>
      <c r="P49" s="356">
        <f t="shared" si="77"/>
        <v>140</v>
      </c>
      <c r="Q49" s="356">
        <f t="shared" si="77"/>
        <v>0</v>
      </c>
      <c r="R49" s="356">
        <f t="shared" si="77"/>
        <v>0</v>
      </c>
      <c r="S49" s="356">
        <f t="shared" si="80"/>
        <v>0</v>
      </c>
      <c r="T49" s="356">
        <f t="shared" si="80"/>
        <v>0</v>
      </c>
      <c r="U49" s="356">
        <f>AB49+AI49+AP49+AW49+BD49+BK49+BR49+BY49+CG49+CO49</f>
        <v>71</v>
      </c>
      <c r="V49" s="357">
        <f>SUM(W49:AB49)</f>
        <v>0</v>
      </c>
      <c r="W49" s="358"/>
      <c r="X49" s="358"/>
      <c r="Y49" s="358"/>
      <c r="Z49" s="358"/>
      <c r="AA49" s="358"/>
      <c r="AB49" s="358"/>
      <c r="AC49" s="357">
        <f>SUM(AD49:AI49)</f>
        <v>0</v>
      </c>
      <c r="AD49" s="358"/>
      <c r="AE49" s="358"/>
      <c r="AF49" s="358"/>
      <c r="AG49" s="358"/>
      <c r="AH49" s="358"/>
      <c r="AI49" s="358"/>
      <c r="AJ49" s="357">
        <f>SUM(AK49:AP49)</f>
        <v>0</v>
      </c>
      <c r="AK49" s="358"/>
      <c r="AL49" s="358"/>
      <c r="AM49" s="358"/>
      <c r="AN49" s="358"/>
      <c r="AO49" s="358"/>
      <c r="AP49" s="358"/>
      <c r="AQ49" s="357">
        <f>SUM(AR49:AW49)</f>
        <v>0</v>
      </c>
      <c r="AR49" s="358"/>
      <c r="AS49" s="358"/>
      <c r="AT49" s="358"/>
      <c r="AU49" s="358"/>
      <c r="AV49" s="358"/>
      <c r="AW49" s="358"/>
      <c r="AX49" s="357">
        <f>SUM(AY49:BD49)</f>
        <v>103</v>
      </c>
      <c r="AY49" s="358">
        <v>68</v>
      </c>
      <c r="AZ49" s="358"/>
      <c r="BA49" s="358"/>
      <c r="BB49" s="358"/>
      <c r="BC49" s="358"/>
      <c r="BD49" s="358">
        <v>35</v>
      </c>
      <c r="BE49" s="357">
        <f>SUM(BF49:BK49)</f>
        <v>108</v>
      </c>
      <c r="BF49" s="358">
        <v>72</v>
      </c>
      <c r="BG49" s="358"/>
      <c r="BH49" s="358"/>
      <c r="BI49" s="358"/>
      <c r="BJ49" s="358"/>
      <c r="BK49" s="358">
        <f>(SUM(BF49:BI49)/2)</f>
        <v>36</v>
      </c>
      <c r="BL49" s="357">
        <f>SUM(BM49:BR49)</f>
        <v>0</v>
      </c>
      <c r="BM49" s="358"/>
      <c r="BN49" s="358"/>
      <c r="BO49" s="358"/>
      <c r="BP49" s="358"/>
      <c r="BQ49" s="358"/>
      <c r="BR49" s="358">
        <f>(SUM(BM49:BP49)/2)</f>
        <v>0</v>
      </c>
      <c r="BS49" s="357">
        <f>SUM(BT49:BY49)</f>
        <v>0</v>
      </c>
      <c r="BT49" s="358"/>
      <c r="BU49" s="358"/>
      <c r="BV49" s="358"/>
      <c r="BW49" s="358"/>
      <c r="BX49" s="358"/>
      <c r="BY49" s="358"/>
      <c r="BZ49" s="357">
        <f>SUM(CA49:CG49)</f>
        <v>0</v>
      </c>
      <c r="CA49" s="358"/>
      <c r="CB49" s="358"/>
      <c r="CC49" s="358"/>
      <c r="CD49" s="358"/>
      <c r="CE49" s="358"/>
      <c r="CF49" s="358"/>
      <c r="CG49" s="358"/>
      <c r="CH49" s="357">
        <f>SUM(CI49:CO49)</f>
        <v>0</v>
      </c>
      <c r="CI49" s="358"/>
      <c r="CJ49" s="358"/>
      <c r="CK49" s="358"/>
      <c r="CL49" s="358"/>
      <c r="CM49" s="358"/>
      <c r="CN49" s="358"/>
      <c r="CO49" s="358"/>
      <c r="CP49" s="353" t="s">
        <v>544</v>
      </c>
      <c r="CQ49" s="372" t="s">
        <v>302</v>
      </c>
      <c r="CR49" s="379"/>
    </row>
    <row r="50" spans="1:96" s="368" customFormat="1" ht="47.25" customHeight="1">
      <c r="A50" s="347" t="s">
        <v>447</v>
      </c>
      <c r="B50" s="352" t="s">
        <v>233</v>
      </c>
      <c r="C50" s="352"/>
      <c r="D50" s="373"/>
      <c r="E50" s="373" t="s">
        <v>41</v>
      </c>
      <c r="F50" s="373"/>
      <c r="G50" s="373"/>
      <c r="H50" s="373"/>
      <c r="I50" s="373" t="s">
        <v>40</v>
      </c>
      <c r="J50" s="450"/>
      <c r="K50" s="450"/>
      <c r="L50" s="358"/>
      <c r="M50" s="358"/>
      <c r="N50" s="356">
        <f>O50+SUM(U50)</f>
        <v>132</v>
      </c>
      <c r="O50" s="356">
        <f>SUM(P50:R50)</f>
        <v>88</v>
      </c>
      <c r="P50" s="356">
        <f t="shared" si="77"/>
        <v>72</v>
      </c>
      <c r="Q50" s="356">
        <f t="shared" si="77"/>
        <v>16</v>
      </c>
      <c r="R50" s="356">
        <f t="shared" si="77"/>
        <v>0</v>
      </c>
      <c r="S50" s="356">
        <f t="shared" si="80"/>
        <v>0</v>
      </c>
      <c r="T50" s="356">
        <f t="shared" si="80"/>
        <v>0</v>
      </c>
      <c r="U50" s="356">
        <f>AB50+AI50+AP50+AW50+BD50+BK50+BR50+BY50+CG50+CO50</f>
        <v>44</v>
      </c>
      <c r="V50" s="357"/>
      <c r="W50" s="358"/>
      <c r="X50" s="358"/>
      <c r="Y50" s="358"/>
      <c r="Z50" s="358"/>
      <c r="AA50" s="358"/>
      <c r="AB50" s="358"/>
      <c r="AC50" s="357"/>
      <c r="AD50" s="358"/>
      <c r="AE50" s="358"/>
      <c r="AF50" s="358"/>
      <c r="AG50" s="358"/>
      <c r="AH50" s="358"/>
      <c r="AI50" s="358"/>
      <c r="AJ50" s="357">
        <f>SUM(AK50:AP50)</f>
        <v>0</v>
      </c>
      <c r="AK50" s="358"/>
      <c r="AL50" s="358"/>
      <c r="AM50" s="358"/>
      <c r="AN50" s="358"/>
      <c r="AO50" s="358"/>
      <c r="AP50" s="358"/>
      <c r="AQ50" s="357">
        <f>SUM(AR50:AW50)</f>
        <v>0</v>
      </c>
      <c r="AR50" s="358"/>
      <c r="AS50" s="358"/>
      <c r="AT50" s="358"/>
      <c r="AU50" s="358"/>
      <c r="AV50" s="358"/>
      <c r="AW50" s="358"/>
      <c r="AX50" s="357">
        <f>SUM(AY50:BD50)</f>
        <v>0</v>
      </c>
      <c r="AY50" s="358"/>
      <c r="AZ50" s="358"/>
      <c r="BA50" s="358"/>
      <c r="BB50" s="358"/>
      <c r="BC50" s="358"/>
      <c r="BD50" s="358">
        <f>(SUM(AY50:BB50)/2)</f>
        <v>0</v>
      </c>
      <c r="BE50" s="357">
        <f>SUM(BF50:BK50)</f>
        <v>36</v>
      </c>
      <c r="BF50" s="358">
        <v>24</v>
      </c>
      <c r="BG50" s="358"/>
      <c r="BH50" s="358"/>
      <c r="BI50" s="358"/>
      <c r="BJ50" s="358"/>
      <c r="BK50" s="358">
        <f>(SUM(BF50:BI50)/2)</f>
        <v>12</v>
      </c>
      <c r="BL50" s="357">
        <f>SUM(BM50:BR50)</f>
        <v>96</v>
      </c>
      <c r="BM50" s="358">
        <v>48</v>
      </c>
      <c r="BN50" s="358">
        <v>16</v>
      </c>
      <c r="BO50" s="358"/>
      <c r="BP50" s="358"/>
      <c r="BQ50" s="358"/>
      <c r="BR50" s="358">
        <f>(SUM(BM50:BP50)/2)</f>
        <v>32</v>
      </c>
      <c r="BS50" s="357">
        <f>SUM(BT50:BY50)</f>
        <v>0</v>
      </c>
      <c r="BT50" s="358"/>
      <c r="BU50" s="358"/>
      <c r="BV50" s="358"/>
      <c r="BW50" s="358"/>
      <c r="BX50" s="358"/>
      <c r="BY50" s="358"/>
      <c r="BZ50" s="357"/>
      <c r="CA50" s="358"/>
      <c r="CB50" s="358"/>
      <c r="CC50" s="358"/>
      <c r="CD50" s="358"/>
      <c r="CE50" s="358"/>
      <c r="CF50" s="358"/>
      <c r="CG50" s="358"/>
      <c r="CH50" s="357"/>
      <c r="CI50" s="358"/>
      <c r="CJ50" s="358"/>
      <c r="CK50" s="358"/>
      <c r="CL50" s="358"/>
      <c r="CM50" s="358"/>
      <c r="CN50" s="358"/>
      <c r="CO50" s="358"/>
      <c r="CP50" s="353" t="s">
        <v>544</v>
      </c>
      <c r="CQ50" s="372" t="s">
        <v>302</v>
      </c>
      <c r="CR50" s="379"/>
    </row>
    <row r="51" spans="1:96" s="400" customFormat="1" ht="27" customHeight="1">
      <c r="A51" s="424" t="s">
        <v>340</v>
      </c>
      <c r="B51" s="416"/>
      <c r="C51" s="424"/>
      <c r="D51" s="418" t="s">
        <v>36</v>
      </c>
      <c r="E51" s="424"/>
      <c r="F51" s="424"/>
      <c r="G51" s="424"/>
      <c r="H51" s="424"/>
      <c r="I51" s="424"/>
      <c r="J51" s="453"/>
      <c r="K51" s="453"/>
      <c r="L51" s="420"/>
      <c r="M51" s="420"/>
      <c r="N51" s="421"/>
      <c r="O51" s="421"/>
      <c r="P51" s="421"/>
      <c r="Q51" s="421"/>
      <c r="R51" s="421"/>
      <c r="S51" s="421"/>
      <c r="T51" s="421"/>
      <c r="U51" s="421"/>
      <c r="V51" s="421"/>
      <c r="W51" s="420"/>
      <c r="X51" s="420"/>
      <c r="Y51" s="420"/>
      <c r="Z51" s="420"/>
      <c r="AA51" s="420"/>
      <c r="AB51" s="420"/>
      <c r="AC51" s="421"/>
      <c r="AD51" s="420"/>
      <c r="AE51" s="420"/>
      <c r="AF51" s="420"/>
      <c r="AG51" s="420"/>
      <c r="AH51" s="420"/>
      <c r="AI51" s="420"/>
      <c r="AJ51" s="421"/>
      <c r="AK51" s="420"/>
      <c r="AL51" s="420"/>
      <c r="AM51" s="420"/>
      <c r="AN51" s="420"/>
      <c r="AO51" s="420"/>
      <c r="AP51" s="420"/>
      <c r="AQ51" s="421"/>
      <c r="AR51" s="420"/>
      <c r="AS51" s="420"/>
      <c r="AT51" s="420"/>
      <c r="AU51" s="420"/>
      <c r="AV51" s="420"/>
      <c r="AW51" s="420"/>
      <c r="AX51" s="421"/>
      <c r="AY51" s="420"/>
      <c r="AZ51" s="420"/>
      <c r="BA51" s="420"/>
      <c r="BB51" s="420"/>
      <c r="BC51" s="420"/>
      <c r="BD51" s="420"/>
      <c r="BE51" s="421"/>
      <c r="BF51" s="420"/>
      <c r="BG51" s="420"/>
      <c r="BH51" s="420"/>
      <c r="BI51" s="420"/>
      <c r="BJ51" s="420"/>
      <c r="BK51" s="420"/>
      <c r="BL51" s="421"/>
      <c r="BM51" s="420"/>
      <c r="BN51" s="420"/>
      <c r="BO51" s="420"/>
      <c r="BP51" s="420"/>
      <c r="BQ51" s="420"/>
      <c r="BR51" s="420"/>
      <c r="BS51" s="421"/>
      <c r="BT51" s="420"/>
      <c r="BU51" s="420"/>
      <c r="BV51" s="420"/>
      <c r="BW51" s="420"/>
      <c r="BX51" s="420"/>
      <c r="BY51" s="420"/>
      <c r="BZ51" s="421"/>
      <c r="CA51" s="420"/>
      <c r="CB51" s="420"/>
      <c r="CC51" s="420"/>
      <c r="CD51" s="420"/>
      <c r="CE51" s="420"/>
      <c r="CF51" s="420"/>
      <c r="CG51" s="420"/>
      <c r="CH51" s="421"/>
      <c r="CI51" s="420"/>
      <c r="CJ51" s="420"/>
      <c r="CK51" s="420"/>
      <c r="CL51" s="420"/>
      <c r="CM51" s="420"/>
      <c r="CN51" s="420"/>
      <c r="CO51" s="420"/>
      <c r="CP51" s="422"/>
      <c r="CQ51" s="423">
        <v>0</v>
      </c>
      <c r="CR51" s="429"/>
    </row>
    <row r="52" spans="1:96" s="368" customFormat="1" ht="36" customHeight="1">
      <c r="A52" s="383" t="s">
        <v>138</v>
      </c>
      <c r="B52" s="564" t="s">
        <v>234</v>
      </c>
      <c r="C52" s="565"/>
      <c r="D52" s="565"/>
      <c r="E52" s="565"/>
      <c r="F52" s="565"/>
      <c r="G52" s="565"/>
      <c r="H52" s="565"/>
      <c r="I52" s="566"/>
      <c r="J52" s="452"/>
      <c r="K52" s="452"/>
      <c r="L52" s="374"/>
      <c r="M52" s="374"/>
      <c r="N52" s="375">
        <f>O52+SUM(U52:U52)</f>
        <v>363</v>
      </c>
      <c r="O52" s="375">
        <f>SUM(P52:T52)</f>
        <v>242</v>
      </c>
      <c r="P52" s="375">
        <f>W52+AD52+AK52+AR52+AY52+BF52+BM52+BT52+CB52+CJ52</f>
        <v>204</v>
      </c>
      <c r="Q52" s="375">
        <f aca="true" t="shared" si="81" ref="P52:R55">X52+AE52+AL52+AS52+AZ52+BG52+BN52+BU52+CC52+CK52</f>
        <v>38</v>
      </c>
      <c r="R52" s="375">
        <f t="shared" si="81"/>
        <v>0</v>
      </c>
      <c r="S52" s="375"/>
      <c r="T52" s="375">
        <f>AA52+AH52+AO52+AV52+BC52+BJ52+BQ52+BX52+CE52+CM52</f>
        <v>0</v>
      </c>
      <c r="U52" s="375">
        <f>AB52+AI52+AP52+AW52+BD52+BK52+BR52+BY52+CG52+CO52</f>
        <v>121</v>
      </c>
      <c r="V52" s="375">
        <f>SUM(W52:AB52)</f>
        <v>0</v>
      </c>
      <c r="W52" s="375">
        <f>SUM(W53:W54)</f>
        <v>0</v>
      </c>
      <c r="X52" s="375">
        <f>SUM(X53:X54)</f>
        <v>0</v>
      </c>
      <c r="Y52" s="375">
        <f>SUM(Y53:Y54)</f>
        <v>0</v>
      </c>
      <c r="Z52" s="375"/>
      <c r="AA52" s="375">
        <f>SUM(AA53:AA54)</f>
        <v>0</v>
      </c>
      <c r="AB52" s="375">
        <f>SUM(AB53:AB54)</f>
        <v>0</v>
      </c>
      <c r="AC52" s="375">
        <f>SUM(AD52:AI52)</f>
        <v>0</v>
      </c>
      <c r="AD52" s="375">
        <f>SUM(AD53:AD54)</f>
        <v>0</v>
      </c>
      <c r="AE52" s="375">
        <f>SUM(AE53:AE54)</f>
        <v>0</v>
      </c>
      <c r="AF52" s="375">
        <f>SUM(AF53:AF54)</f>
        <v>0</v>
      </c>
      <c r="AG52" s="375"/>
      <c r="AH52" s="375">
        <f>SUM(AH53:AH54)</f>
        <v>0</v>
      </c>
      <c r="AI52" s="375">
        <f>SUM(AI53:AI54)</f>
        <v>0</v>
      </c>
      <c r="AJ52" s="375">
        <f>SUM(AK52:AP52)</f>
        <v>0</v>
      </c>
      <c r="AK52" s="375">
        <f>SUM(AK53:AK54)</f>
        <v>0</v>
      </c>
      <c r="AL52" s="375">
        <f>SUM(AL53:AL54)</f>
        <v>0</v>
      </c>
      <c r="AM52" s="375">
        <f>SUM(AM53:AM54)</f>
        <v>0</v>
      </c>
      <c r="AN52" s="375"/>
      <c r="AO52" s="375">
        <f>SUM(AO53:AO54)</f>
        <v>0</v>
      </c>
      <c r="AP52" s="375">
        <f>SUM(AP53:AP54)</f>
        <v>0</v>
      </c>
      <c r="AQ52" s="375">
        <f>SUM(AR52:AW52)</f>
        <v>171</v>
      </c>
      <c r="AR52" s="375">
        <f>SUM(AR53:AR54)</f>
        <v>76</v>
      </c>
      <c r="AS52" s="375">
        <f>SUM(AS53:AS54)</f>
        <v>38</v>
      </c>
      <c r="AT52" s="375">
        <f>SUM(AT53:AT54)</f>
        <v>0</v>
      </c>
      <c r="AU52" s="375"/>
      <c r="AV52" s="375">
        <f>SUM(AV53:AV54)</f>
        <v>0</v>
      </c>
      <c r="AW52" s="375">
        <f>SUM(AW53:AW54)</f>
        <v>57</v>
      </c>
      <c r="AX52" s="375">
        <f>SUM(AY52:BD52)</f>
        <v>0</v>
      </c>
      <c r="AY52" s="375">
        <f>SUM(AY53:AY54)</f>
        <v>0</v>
      </c>
      <c r="AZ52" s="375">
        <f>SUM(AZ53:AZ54)</f>
        <v>0</v>
      </c>
      <c r="BA52" s="375">
        <f>SUM(BA53:BA54)</f>
        <v>0</v>
      </c>
      <c r="BB52" s="375"/>
      <c r="BC52" s="375">
        <f>SUM(BC53:BC54)</f>
        <v>0</v>
      </c>
      <c r="BD52" s="375">
        <f>SUM(BD53:BD54)</f>
        <v>0</v>
      </c>
      <c r="BE52" s="375">
        <f>SUM(BF52:BK52)</f>
        <v>0</v>
      </c>
      <c r="BF52" s="375">
        <f>SUM(BF53:BF54)</f>
        <v>0</v>
      </c>
      <c r="BG52" s="375">
        <f>SUM(BG53:BG54)</f>
        <v>0</v>
      </c>
      <c r="BH52" s="375">
        <f>SUM(BH53:BH54)</f>
        <v>0</v>
      </c>
      <c r="BI52" s="375"/>
      <c r="BJ52" s="375">
        <f>SUM(BJ53:BJ54)</f>
        <v>0</v>
      </c>
      <c r="BK52" s="375">
        <f>SUM(BK53:BK54)</f>
        <v>0</v>
      </c>
      <c r="BL52" s="375">
        <f>SUM(BM52:BR52)</f>
        <v>48</v>
      </c>
      <c r="BM52" s="375">
        <f>SUM(BM53:BM55)</f>
        <v>32</v>
      </c>
      <c r="BN52" s="375">
        <f>SUM(BN53:BN54)</f>
        <v>0</v>
      </c>
      <c r="BO52" s="375">
        <f>SUM(BO53:BO54)</f>
        <v>0</v>
      </c>
      <c r="BP52" s="375"/>
      <c r="BQ52" s="375">
        <f>SUM(BQ53:BQ54)</f>
        <v>0</v>
      </c>
      <c r="BR52" s="375">
        <f>SUM(BR53:BR55)</f>
        <v>16</v>
      </c>
      <c r="BS52" s="375">
        <f>SUM(BT52:BY52)</f>
        <v>144</v>
      </c>
      <c r="BT52" s="375">
        <f>SUM(BT53:BT55)</f>
        <v>96</v>
      </c>
      <c r="BU52" s="375">
        <f>SUM(BU53:BU54)</f>
        <v>0</v>
      </c>
      <c r="BV52" s="375">
        <f>SUM(BV53:BV54)</f>
        <v>0</v>
      </c>
      <c r="BW52" s="375"/>
      <c r="BX52" s="375">
        <f>SUM(BX53:BX54)</f>
        <v>0</v>
      </c>
      <c r="BY52" s="375">
        <f>SUM(BY53:BY55)</f>
        <v>48</v>
      </c>
      <c r="BZ52" s="375">
        <f>SUM(CA52:CG52)</f>
        <v>0</v>
      </c>
      <c r="CA52" s="375"/>
      <c r="CB52" s="375">
        <f aca="true" t="shared" si="82" ref="CB52:CG52">SUM(CB53:CB54)</f>
        <v>0</v>
      </c>
      <c r="CC52" s="375">
        <f t="shared" si="82"/>
        <v>0</v>
      </c>
      <c r="CD52" s="375">
        <f t="shared" si="82"/>
        <v>0</v>
      </c>
      <c r="CE52" s="375">
        <f t="shared" si="82"/>
        <v>0</v>
      </c>
      <c r="CF52" s="375">
        <f t="shared" si="82"/>
        <v>0</v>
      </c>
      <c r="CG52" s="375">
        <f t="shared" si="82"/>
        <v>0</v>
      </c>
      <c r="CH52" s="375">
        <f>SUM(CI52:CO52)</f>
        <v>0</v>
      </c>
      <c r="CI52" s="375">
        <f aca="true" t="shared" si="83" ref="CI52:CO52">SUM(CI53:CI54)</f>
        <v>0</v>
      </c>
      <c r="CJ52" s="375">
        <f t="shared" si="83"/>
        <v>0</v>
      </c>
      <c r="CK52" s="375">
        <f t="shared" si="83"/>
        <v>0</v>
      </c>
      <c r="CL52" s="375">
        <f t="shared" si="83"/>
        <v>0</v>
      </c>
      <c r="CM52" s="375">
        <f t="shared" si="83"/>
        <v>0</v>
      </c>
      <c r="CN52" s="375">
        <f t="shared" si="83"/>
        <v>0</v>
      </c>
      <c r="CO52" s="375">
        <f t="shared" si="83"/>
        <v>0</v>
      </c>
      <c r="CP52" s="376" t="s">
        <v>544</v>
      </c>
      <c r="CQ52" s="377" t="s">
        <v>303</v>
      </c>
      <c r="CR52" s="379"/>
    </row>
    <row r="53" spans="1:98" s="487" customFormat="1" ht="36" customHeight="1">
      <c r="A53" s="347" t="s">
        <v>445</v>
      </c>
      <c r="B53" s="352" t="s">
        <v>235</v>
      </c>
      <c r="C53" s="352"/>
      <c r="D53" s="353"/>
      <c r="E53" s="373" t="s">
        <v>38</v>
      </c>
      <c r="F53" s="353"/>
      <c r="G53" s="353"/>
      <c r="H53" s="353"/>
      <c r="I53" s="353"/>
      <c r="J53" s="450"/>
      <c r="K53" s="450"/>
      <c r="L53" s="358"/>
      <c r="M53" s="358"/>
      <c r="N53" s="356">
        <f>O53+SUM(U53)</f>
        <v>171</v>
      </c>
      <c r="O53" s="356">
        <f>SUM(P53:R53)</f>
        <v>114</v>
      </c>
      <c r="P53" s="356">
        <f t="shared" si="81"/>
        <v>76</v>
      </c>
      <c r="Q53" s="356">
        <f t="shared" si="81"/>
        <v>38</v>
      </c>
      <c r="R53" s="356">
        <f t="shared" si="81"/>
        <v>0</v>
      </c>
      <c r="S53" s="356">
        <f>Z53+AG53+AN53+AU53+BB53+BI53+BP53+BW53+CE53+CM53</f>
        <v>0</v>
      </c>
      <c r="T53" s="356">
        <f>AA53+AH53+AO53+AV53+BC53+BJ53+BQ53+BX53+CF53+CN53</f>
        <v>0</v>
      </c>
      <c r="U53" s="356">
        <f>AB53+AI53+AP53+AW53+BD53+BK53+BR53+BY53+CG53+CO53</f>
        <v>57</v>
      </c>
      <c r="V53" s="357">
        <f>SUM(W53:AB53)</f>
        <v>0</v>
      </c>
      <c r="W53" s="358"/>
      <c r="X53" s="358"/>
      <c r="Y53" s="358"/>
      <c r="Z53" s="358"/>
      <c r="AA53" s="358"/>
      <c r="AB53" s="358"/>
      <c r="AC53" s="357">
        <f>SUM(AD53:AI53)</f>
        <v>0</v>
      </c>
      <c r="AD53" s="358"/>
      <c r="AE53" s="358"/>
      <c r="AF53" s="358"/>
      <c r="AG53" s="358"/>
      <c r="AH53" s="358"/>
      <c r="AI53" s="358"/>
      <c r="AJ53" s="357">
        <f>SUM(AK53:AP53)</f>
        <v>0</v>
      </c>
      <c r="AK53" s="358"/>
      <c r="AL53" s="358"/>
      <c r="AM53" s="358"/>
      <c r="AN53" s="358"/>
      <c r="AO53" s="358"/>
      <c r="AP53" s="358"/>
      <c r="AQ53" s="357">
        <f>SUM(AR53:AW53)</f>
        <v>171</v>
      </c>
      <c r="AR53" s="354">
        <v>76</v>
      </c>
      <c r="AS53" s="354">
        <v>38</v>
      </c>
      <c r="AT53" s="358"/>
      <c r="AU53" s="358"/>
      <c r="AV53" s="358"/>
      <c r="AW53" s="358">
        <f>(SUM(AR53:AU53)/2)</f>
        <v>57</v>
      </c>
      <c r="AX53" s="357">
        <f>SUM(AY53:BD53)</f>
        <v>0</v>
      </c>
      <c r="AY53" s="358"/>
      <c r="AZ53" s="358"/>
      <c r="BA53" s="358"/>
      <c r="BB53" s="358"/>
      <c r="BC53" s="358"/>
      <c r="BD53" s="358"/>
      <c r="BE53" s="357">
        <f>SUM(BF53:BK53)</f>
        <v>0</v>
      </c>
      <c r="BF53" s="358"/>
      <c r="BG53" s="358"/>
      <c r="BH53" s="358"/>
      <c r="BI53" s="358"/>
      <c r="BJ53" s="358"/>
      <c r="BK53" s="358"/>
      <c r="BL53" s="357">
        <f>SUM(BM53:BR53)</f>
        <v>0</v>
      </c>
      <c r="BM53" s="358"/>
      <c r="BN53" s="358"/>
      <c r="BO53" s="358"/>
      <c r="BP53" s="358"/>
      <c r="BQ53" s="358"/>
      <c r="BR53" s="358">
        <f>(SUM(BM53:BP53)/2)</f>
        <v>0</v>
      </c>
      <c r="BS53" s="357">
        <f>SUM(BT53:BY53)</f>
        <v>0</v>
      </c>
      <c r="BT53" s="358"/>
      <c r="BU53" s="358"/>
      <c r="BV53" s="358"/>
      <c r="BW53" s="358"/>
      <c r="BX53" s="358"/>
      <c r="BY53" s="358">
        <f>(SUM(BT53:BW53)/2)</f>
        <v>0</v>
      </c>
      <c r="BZ53" s="357">
        <f>SUM(CA53:CG53)</f>
        <v>0</v>
      </c>
      <c r="CA53" s="358"/>
      <c r="CB53" s="358"/>
      <c r="CC53" s="358"/>
      <c r="CD53" s="358"/>
      <c r="CE53" s="358"/>
      <c r="CF53" s="358"/>
      <c r="CG53" s="358"/>
      <c r="CH53" s="357">
        <f>SUM(CI53:CO53)</f>
        <v>0</v>
      </c>
      <c r="CI53" s="358"/>
      <c r="CJ53" s="358"/>
      <c r="CK53" s="358"/>
      <c r="CL53" s="358"/>
      <c r="CM53" s="358"/>
      <c r="CN53" s="358"/>
      <c r="CO53" s="358"/>
      <c r="CP53" s="353" t="s">
        <v>544</v>
      </c>
      <c r="CQ53" s="372" t="s">
        <v>303</v>
      </c>
      <c r="CR53" s="379"/>
      <c r="CS53" s="368"/>
      <c r="CT53" s="368"/>
    </row>
    <row r="54" spans="1:96" s="368" customFormat="1" ht="57.75" customHeight="1">
      <c r="A54" s="347" t="s">
        <v>446</v>
      </c>
      <c r="B54" s="352" t="s">
        <v>236</v>
      </c>
      <c r="C54" s="352"/>
      <c r="D54" s="353"/>
      <c r="E54" s="353" t="s">
        <v>36</v>
      </c>
      <c r="F54" s="353"/>
      <c r="G54" s="353"/>
      <c r="H54" s="353"/>
      <c r="I54" s="353" t="s">
        <v>41</v>
      </c>
      <c r="J54" s="450"/>
      <c r="K54" s="450"/>
      <c r="L54" s="358"/>
      <c r="M54" s="358"/>
      <c r="N54" s="356">
        <f>O54+SUM(U54)</f>
        <v>120</v>
      </c>
      <c r="O54" s="356">
        <f>SUM(P54:R54)</f>
        <v>80</v>
      </c>
      <c r="P54" s="356">
        <f t="shared" si="81"/>
        <v>80</v>
      </c>
      <c r="Q54" s="356">
        <f t="shared" si="81"/>
        <v>0</v>
      </c>
      <c r="R54" s="356">
        <f t="shared" si="81"/>
        <v>0</v>
      </c>
      <c r="S54" s="356">
        <f>Z54+AG54+AN54+AU54+BB54+BI54+BP54+BW54+CE54+CM54</f>
        <v>0</v>
      </c>
      <c r="T54" s="356">
        <f>AA54+AH54+AO54+AV54+BC54+BJ54+BQ54+BX54+CF54+CN54</f>
        <v>0</v>
      </c>
      <c r="U54" s="356">
        <f>AB54+AI54+AP54+AW54+BD54+BK54+BR54+BY54+CG54+CO54</f>
        <v>40</v>
      </c>
      <c r="V54" s="357">
        <f>SUM(W54:AB54)</f>
        <v>0</v>
      </c>
      <c r="W54" s="358"/>
      <c r="X54" s="358"/>
      <c r="Y54" s="358"/>
      <c r="Z54" s="358"/>
      <c r="AA54" s="358"/>
      <c r="AB54" s="358"/>
      <c r="AC54" s="357">
        <f>SUM(AD54:AI54)</f>
        <v>0</v>
      </c>
      <c r="AD54" s="358"/>
      <c r="AE54" s="358"/>
      <c r="AF54" s="358"/>
      <c r="AG54" s="358"/>
      <c r="AH54" s="358"/>
      <c r="AI54" s="358"/>
      <c r="AJ54" s="357">
        <f>SUM(AK54:AP54)</f>
        <v>0</v>
      </c>
      <c r="AK54" s="358"/>
      <c r="AL54" s="358"/>
      <c r="AM54" s="358"/>
      <c r="AN54" s="358"/>
      <c r="AO54" s="358"/>
      <c r="AP54" s="358"/>
      <c r="AQ54" s="357">
        <f>SUM(AR54:AW54)</f>
        <v>0</v>
      </c>
      <c r="AR54" s="358"/>
      <c r="AS54" s="358"/>
      <c r="AT54" s="358"/>
      <c r="AU54" s="358"/>
      <c r="AV54" s="358"/>
      <c r="AW54" s="358"/>
      <c r="AX54" s="357">
        <f>SUM(AY54:BD54)</f>
        <v>0</v>
      </c>
      <c r="AY54" s="358"/>
      <c r="AZ54" s="358"/>
      <c r="BA54" s="358"/>
      <c r="BB54" s="358"/>
      <c r="BC54" s="358"/>
      <c r="BD54" s="358"/>
      <c r="BE54" s="357">
        <f>SUM(BF54:BK54)</f>
        <v>0</v>
      </c>
      <c r="BF54" s="358"/>
      <c r="BG54" s="358"/>
      <c r="BH54" s="358"/>
      <c r="BI54" s="358"/>
      <c r="BJ54" s="358"/>
      <c r="BK54" s="358"/>
      <c r="BL54" s="357">
        <f>SUM(BM54:BR54)</f>
        <v>48</v>
      </c>
      <c r="BM54" s="358">
        <v>32</v>
      </c>
      <c r="BN54" s="358"/>
      <c r="BO54" s="358"/>
      <c r="BP54" s="358"/>
      <c r="BQ54" s="358"/>
      <c r="BR54" s="358">
        <f>(SUM(BM54:BP54)/2)</f>
        <v>16</v>
      </c>
      <c r="BS54" s="357">
        <f>SUM(BT54:BY54)</f>
        <v>72</v>
      </c>
      <c r="BT54" s="358">
        <v>48</v>
      </c>
      <c r="BU54" s="358"/>
      <c r="BV54" s="358"/>
      <c r="BW54" s="358"/>
      <c r="BX54" s="358"/>
      <c r="BY54" s="358">
        <f>(SUM(BT54:BW54)/2)</f>
        <v>24</v>
      </c>
      <c r="BZ54" s="357">
        <f>SUM(CA54:CG54)</f>
        <v>0</v>
      </c>
      <c r="CA54" s="358"/>
      <c r="CB54" s="358"/>
      <c r="CC54" s="358"/>
      <c r="CD54" s="358"/>
      <c r="CE54" s="358"/>
      <c r="CF54" s="358"/>
      <c r="CG54" s="358"/>
      <c r="CH54" s="357">
        <f>SUM(CI54:CO54)</f>
        <v>0</v>
      </c>
      <c r="CI54" s="358"/>
      <c r="CJ54" s="358"/>
      <c r="CK54" s="358"/>
      <c r="CL54" s="358"/>
      <c r="CM54" s="358"/>
      <c r="CN54" s="358"/>
      <c r="CO54" s="358"/>
      <c r="CP54" s="353" t="s">
        <v>544</v>
      </c>
      <c r="CQ54" s="372" t="s">
        <v>303</v>
      </c>
      <c r="CR54" s="379"/>
    </row>
    <row r="55" spans="1:96" s="368" customFormat="1" ht="57.75" customHeight="1">
      <c r="A55" s="347" t="s">
        <v>568</v>
      </c>
      <c r="B55" s="352" t="s">
        <v>241</v>
      </c>
      <c r="C55" s="352"/>
      <c r="D55" s="353"/>
      <c r="E55" s="353" t="s">
        <v>36</v>
      </c>
      <c r="F55" s="353"/>
      <c r="G55" s="353"/>
      <c r="H55" s="353"/>
      <c r="I55" s="353"/>
      <c r="J55" s="450"/>
      <c r="K55" s="450"/>
      <c r="L55" s="358"/>
      <c r="M55" s="358"/>
      <c r="N55" s="356">
        <f>O55+SUM(U55)</f>
        <v>72</v>
      </c>
      <c r="O55" s="356">
        <f>SUM(P55:R55)</f>
        <v>48</v>
      </c>
      <c r="P55" s="356">
        <f t="shared" si="81"/>
        <v>48</v>
      </c>
      <c r="Q55" s="356">
        <f t="shared" si="81"/>
        <v>0</v>
      </c>
      <c r="R55" s="356"/>
      <c r="S55" s="356"/>
      <c r="T55" s="356"/>
      <c r="U55" s="356">
        <f>AB55+AI55+AP55+AW55+BD55+BK55+BR55+BY55+CG55+CO55</f>
        <v>24</v>
      </c>
      <c r="V55" s="357"/>
      <c r="W55" s="358"/>
      <c r="X55" s="358"/>
      <c r="Y55" s="358"/>
      <c r="Z55" s="358"/>
      <c r="AA55" s="358"/>
      <c r="AB55" s="358"/>
      <c r="AC55" s="357"/>
      <c r="AD55" s="358"/>
      <c r="AE55" s="358"/>
      <c r="AF55" s="358"/>
      <c r="AG55" s="358"/>
      <c r="AH55" s="358"/>
      <c r="AI55" s="358"/>
      <c r="AJ55" s="357"/>
      <c r="AK55" s="358"/>
      <c r="AL55" s="358"/>
      <c r="AM55" s="358"/>
      <c r="AN55" s="358"/>
      <c r="AO55" s="358"/>
      <c r="AP55" s="358"/>
      <c r="AQ55" s="357"/>
      <c r="AR55" s="358"/>
      <c r="AS55" s="358"/>
      <c r="AT55" s="358"/>
      <c r="AU55" s="358"/>
      <c r="AV55" s="358"/>
      <c r="AW55" s="358"/>
      <c r="AX55" s="357"/>
      <c r="AY55" s="358"/>
      <c r="AZ55" s="358"/>
      <c r="BA55" s="358"/>
      <c r="BB55" s="358"/>
      <c r="BC55" s="358"/>
      <c r="BD55" s="358"/>
      <c r="BE55" s="357"/>
      <c r="BF55" s="358"/>
      <c r="BG55" s="358"/>
      <c r="BH55" s="358"/>
      <c r="BI55" s="358"/>
      <c r="BJ55" s="358"/>
      <c r="BK55" s="358"/>
      <c r="BL55" s="357">
        <f>SUM(BM55:BR55)</f>
        <v>0</v>
      </c>
      <c r="BM55" s="358"/>
      <c r="BN55" s="358"/>
      <c r="BO55" s="358"/>
      <c r="BP55" s="358"/>
      <c r="BQ55" s="358"/>
      <c r="BR55" s="358">
        <f>(SUM(BM55:BP55)/2)</f>
        <v>0</v>
      </c>
      <c r="BS55" s="357">
        <f>SUM(BT55:BY55)</f>
        <v>72</v>
      </c>
      <c r="BT55" s="358">
        <v>48</v>
      </c>
      <c r="BU55" s="358"/>
      <c r="BV55" s="358"/>
      <c r="BW55" s="358"/>
      <c r="BX55" s="358"/>
      <c r="BY55" s="358">
        <f>(SUM(BT55:BW55)/2)</f>
        <v>24</v>
      </c>
      <c r="BZ55" s="358"/>
      <c r="CA55" s="358"/>
      <c r="CB55" s="358"/>
      <c r="CC55" s="358"/>
      <c r="CD55" s="358"/>
      <c r="CE55" s="358"/>
      <c r="CF55" s="358"/>
      <c r="CG55" s="358"/>
      <c r="CH55" s="358"/>
      <c r="CI55" s="358"/>
      <c r="CJ55" s="358"/>
      <c r="CK55" s="358"/>
      <c r="CL55" s="358"/>
      <c r="CM55" s="358"/>
      <c r="CN55" s="358"/>
      <c r="CO55" s="358"/>
      <c r="CP55" s="358" t="s">
        <v>544</v>
      </c>
      <c r="CQ55" s="372" t="s">
        <v>567</v>
      </c>
      <c r="CR55" s="379"/>
    </row>
    <row r="56" spans="1:96" s="400" customFormat="1" ht="27" customHeight="1">
      <c r="A56" s="424" t="s">
        <v>340</v>
      </c>
      <c r="B56" s="424"/>
      <c r="C56" s="424"/>
      <c r="D56" s="418" t="s">
        <v>36</v>
      </c>
      <c r="E56" s="424"/>
      <c r="F56" s="424"/>
      <c r="G56" s="424"/>
      <c r="H56" s="424"/>
      <c r="I56" s="424"/>
      <c r="J56" s="453"/>
      <c r="K56" s="453"/>
      <c r="L56" s="420"/>
      <c r="M56" s="420"/>
      <c r="N56" s="421"/>
      <c r="O56" s="421"/>
      <c r="P56" s="421"/>
      <c r="Q56" s="421"/>
      <c r="R56" s="421"/>
      <c r="S56" s="421"/>
      <c r="T56" s="421"/>
      <c r="U56" s="421"/>
      <c r="V56" s="421"/>
      <c r="W56" s="420"/>
      <c r="X56" s="420"/>
      <c r="Y56" s="420"/>
      <c r="Z56" s="420"/>
      <c r="AA56" s="420"/>
      <c r="AB56" s="420"/>
      <c r="AC56" s="421"/>
      <c r="AD56" s="420"/>
      <c r="AE56" s="420"/>
      <c r="AF56" s="420"/>
      <c r="AG56" s="420"/>
      <c r="AH56" s="420"/>
      <c r="AI56" s="420"/>
      <c r="AJ56" s="421"/>
      <c r="AK56" s="420"/>
      <c r="AL56" s="420"/>
      <c r="AM56" s="420"/>
      <c r="AN56" s="420"/>
      <c r="AO56" s="420"/>
      <c r="AP56" s="420"/>
      <c r="AQ56" s="421"/>
      <c r="AR56" s="420"/>
      <c r="AS56" s="420"/>
      <c r="AT56" s="420"/>
      <c r="AU56" s="420"/>
      <c r="AV56" s="420"/>
      <c r="AW56" s="420"/>
      <c r="AX56" s="421"/>
      <c r="AY56" s="420"/>
      <c r="AZ56" s="420"/>
      <c r="BA56" s="420"/>
      <c r="BB56" s="420"/>
      <c r="BC56" s="420"/>
      <c r="BD56" s="420"/>
      <c r="BE56" s="421"/>
      <c r="BF56" s="420"/>
      <c r="BG56" s="420"/>
      <c r="BH56" s="420"/>
      <c r="BI56" s="420"/>
      <c r="BJ56" s="420"/>
      <c r="BK56" s="420"/>
      <c r="BL56" s="421"/>
      <c r="BM56" s="420"/>
      <c r="BN56" s="420"/>
      <c r="BO56" s="420"/>
      <c r="BP56" s="420"/>
      <c r="BQ56" s="420"/>
      <c r="BR56" s="420"/>
      <c r="BS56" s="421"/>
      <c r="BT56" s="420"/>
      <c r="BU56" s="420"/>
      <c r="BV56" s="420"/>
      <c r="BW56" s="420"/>
      <c r="BX56" s="420"/>
      <c r="BY56" s="420"/>
      <c r="BZ56" s="421"/>
      <c r="CA56" s="420"/>
      <c r="CB56" s="420"/>
      <c r="CC56" s="420"/>
      <c r="CD56" s="420"/>
      <c r="CE56" s="420"/>
      <c r="CF56" s="420"/>
      <c r="CG56" s="420"/>
      <c r="CH56" s="421"/>
      <c r="CI56" s="420"/>
      <c r="CJ56" s="420"/>
      <c r="CK56" s="420"/>
      <c r="CL56" s="420"/>
      <c r="CM56" s="420"/>
      <c r="CN56" s="420"/>
      <c r="CO56" s="420"/>
      <c r="CP56" s="422"/>
      <c r="CQ56" s="423">
        <v>0</v>
      </c>
      <c r="CR56" s="429"/>
    </row>
    <row r="57" spans="1:96" s="368" customFormat="1" ht="30.75" customHeight="1">
      <c r="A57" s="383" t="s">
        <v>139</v>
      </c>
      <c r="B57" s="564" t="s">
        <v>237</v>
      </c>
      <c r="C57" s="565"/>
      <c r="D57" s="565"/>
      <c r="E57" s="565"/>
      <c r="F57" s="565"/>
      <c r="G57" s="565"/>
      <c r="H57" s="565"/>
      <c r="I57" s="566"/>
      <c r="J57" s="452"/>
      <c r="K57" s="452"/>
      <c r="L57" s="374"/>
      <c r="M57" s="374"/>
      <c r="N57" s="375">
        <f>O57+SUM(U57:U57)</f>
        <v>575</v>
      </c>
      <c r="O57" s="375">
        <f>SUM(P57:T57)</f>
        <v>383</v>
      </c>
      <c r="P57" s="375">
        <f aca="true" t="shared" si="84" ref="P57:R60">W57+AD57+AK57+AR57+AY57+BF57+BM57+BT57+CB57+CJ57</f>
        <v>363</v>
      </c>
      <c r="Q57" s="375">
        <f t="shared" si="84"/>
        <v>0</v>
      </c>
      <c r="R57" s="375">
        <f t="shared" si="84"/>
        <v>20</v>
      </c>
      <c r="S57" s="375"/>
      <c r="T57" s="375">
        <f>AA57+AH57+AO57+AV57+BC57+BJ57+BQ57+BX57+CE57+CM57</f>
        <v>0</v>
      </c>
      <c r="U57" s="375">
        <f>AB57+AI57+AP57+AW57+BD57+BK57+BR57+BY57+CG57+CO57</f>
        <v>192</v>
      </c>
      <c r="V57" s="375">
        <f>SUM(W57:AB57)</f>
        <v>0</v>
      </c>
      <c r="W57" s="375">
        <f>SUM(W58:W60)</f>
        <v>0</v>
      </c>
      <c r="X57" s="375">
        <f>SUM(X58:X60)</f>
        <v>0</v>
      </c>
      <c r="Y57" s="375">
        <f>SUM(Y58:Y60)</f>
        <v>0</v>
      </c>
      <c r="Z57" s="375"/>
      <c r="AA57" s="375">
        <f>SUM(AA58:AA60)</f>
        <v>0</v>
      </c>
      <c r="AB57" s="375">
        <f>SUM(AB58:AB60)</f>
        <v>0</v>
      </c>
      <c r="AC57" s="375">
        <f>SUM(AD57:AI57)</f>
        <v>0</v>
      </c>
      <c r="AD57" s="375">
        <f>SUM(AD58:AD60)</f>
        <v>0</v>
      </c>
      <c r="AE57" s="375">
        <f>SUM(AE58:AE60)</f>
        <v>0</v>
      </c>
      <c r="AF57" s="375">
        <f>SUM(AF58:AF60)</f>
        <v>0</v>
      </c>
      <c r="AG57" s="375"/>
      <c r="AH57" s="375">
        <f>SUM(AH58:AH60)</f>
        <v>0</v>
      </c>
      <c r="AI57" s="375">
        <f>SUM(AI58:AI60)</f>
        <v>0</v>
      </c>
      <c r="AJ57" s="375">
        <f>SUM(AK57:AP57)</f>
        <v>0</v>
      </c>
      <c r="AK57" s="375">
        <f>SUM(AK58:AK60)</f>
        <v>0</v>
      </c>
      <c r="AL57" s="375">
        <f>SUM(AL58:AL60)</f>
        <v>0</v>
      </c>
      <c r="AM57" s="375">
        <f>SUM(AM58:AM60)</f>
        <v>0</v>
      </c>
      <c r="AN57" s="375"/>
      <c r="AO57" s="375">
        <f>SUM(AO58:AO60)</f>
        <v>0</v>
      </c>
      <c r="AP57" s="375">
        <f>SUM(AP58:AP60)</f>
        <v>0</v>
      </c>
      <c r="AQ57" s="375">
        <f>SUM(AR57:AW57)</f>
        <v>114</v>
      </c>
      <c r="AR57" s="375">
        <f>SUM(AR58:AR60)</f>
        <v>76</v>
      </c>
      <c r="AS57" s="375">
        <f>SUM(AS58:AS60)</f>
        <v>0</v>
      </c>
      <c r="AT57" s="375">
        <f>SUM(AT58:AT60)</f>
        <v>0</v>
      </c>
      <c r="AU57" s="375"/>
      <c r="AV57" s="375">
        <f>SUM(AV58:AV60)</f>
        <v>0</v>
      </c>
      <c r="AW57" s="375">
        <f>SUM(AW58:AW60)</f>
        <v>38</v>
      </c>
      <c r="AX57" s="375">
        <f>SUM(AY57:BD57)</f>
        <v>77</v>
      </c>
      <c r="AY57" s="375">
        <f>SUM(AY58:AY60)</f>
        <v>51</v>
      </c>
      <c r="AZ57" s="375">
        <f>SUM(AZ58:AZ60)</f>
        <v>0</v>
      </c>
      <c r="BA57" s="375">
        <f>SUM(BA58:BA60)</f>
        <v>0</v>
      </c>
      <c r="BB57" s="375"/>
      <c r="BC57" s="375">
        <f>SUM(BC58:BC60)</f>
        <v>0</v>
      </c>
      <c r="BD57" s="375">
        <f>SUM(BD58:BD60)</f>
        <v>26</v>
      </c>
      <c r="BE57" s="375">
        <f>SUM(BF57:BK57)</f>
        <v>108</v>
      </c>
      <c r="BF57" s="375">
        <f>SUM(BF58:BF60)</f>
        <v>72</v>
      </c>
      <c r="BG57" s="375">
        <f>SUM(BG58:BG60)</f>
        <v>0</v>
      </c>
      <c r="BH57" s="375">
        <f>SUM(BH58:BH60)</f>
        <v>0</v>
      </c>
      <c r="BI57" s="375"/>
      <c r="BJ57" s="375">
        <f>SUM(BJ58:BJ60)</f>
        <v>0</v>
      </c>
      <c r="BK57" s="375">
        <f>SUM(BK58:BK60)</f>
        <v>36</v>
      </c>
      <c r="BL57" s="375">
        <f>SUM(BM57:BR57)</f>
        <v>96</v>
      </c>
      <c r="BM57" s="375">
        <f>SUM(BM58:BM60)</f>
        <v>64</v>
      </c>
      <c r="BN57" s="375">
        <f>SUM(BN58:BN60)</f>
        <v>0</v>
      </c>
      <c r="BO57" s="375">
        <f>SUM(BO58:BO60)</f>
        <v>0</v>
      </c>
      <c r="BP57" s="375"/>
      <c r="BQ57" s="375">
        <f>SUM(BQ58:BQ60)</f>
        <v>0</v>
      </c>
      <c r="BR57" s="375">
        <f>SUM(BR58:BR60)</f>
        <v>32</v>
      </c>
      <c r="BS57" s="375">
        <f>SUM(BT57:BY57)</f>
        <v>180</v>
      </c>
      <c r="BT57" s="375">
        <f>SUM(BT58:BT60)</f>
        <v>100</v>
      </c>
      <c r="BU57" s="375">
        <f>SUM(BU58:BU60)</f>
        <v>0</v>
      </c>
      <c r="BV57" s="375">
        <f>SUM(BV58:BV60)</f>
        <v>20</v>
      </c>
      <c r="BW57" s="375"/>
      <c r="BX57" s="375">
        <f>SUM(BX58:BX60)</f>
        <v>0</v>
      </c>
      <c r="BY57" s="375">
        <f>SUM(BY58:BY60)</f>
        <v>60</v>
      </c>
      <c r="BZ57" s="375">
        <f>SUM(CA57:CG57)</f>
        <v>0</v>
      </c>
      <c r="CA57" s="375"/>
      <c r="CB57" s="375">
        <f aca="true" t="shared" si="85" ref="CB57:CG57">SUM(CB58:CB60)</f>
        <v>0</v>
      </c>
      <c r="CC57" s="375">
        <f t="shared" si="85"/>
        <v>0</v>
      </c>
      <c r="CD57" s="375">
        <f t="shared" si="85"/>
        <v>0</v>
      </c>
      <c r="CE57" s="375">
        <f t="shared" si="85"/>
        <v>0</v>
      </c>
      <c r="CF57" s="375">
        <f t="shared" si="85"/>
        <v>0</v>
      </c>
      <c r="CG57" s="375">
        <f t="shared" si="85"/>
        <v>0</v>
      </c>
      <c r="CH57" s="375">
        <f>SUM(CI57:CO57)</f>
        <v>0</v>
      </c>
      <c r="CI57" s="375">
        <f aca="true" t="shared" si="86" ref="CI57:CO57">SUM(CI58:CI60)</f>
        <v>0</v>
      </c>
      <c r="CJ57" s="375">
        <f t="shared" si="86"/>
        <v>0</v>
      </c>
      <c r="CK57" s="375">
        <f t="shared" si="86"/>
        <v>0</v>
      </c>
      <c r="CL57" s="375">
        <f t="shared" si="86"/>
        <v>0</v>
      </c>
      <c r="CM57" s="375">
        <f t="shared" si="86"/>
        <v>0</v>
      </c>
      <c r="CN57" s="375">
        <f t="shared" si="86"/>
        <v>0</v>
      </c>
      <c r="CO57" s="375">
        <f t="shared" si="86"/>
        <v>0</v>
      </c>
      <c r="CP57" s="376" t="s">
        <v>544</v>
      </c>
      <c r="CQ57" s="377" t="s">
        <v>301</v>
      </c>
      <c r="CR57" s="379"/>
    </row>
    <row r="58" spans="1:98" s="486" customFormat="1" ht="49.5" customHeight="1">
      <c r="A58" s="378" t="s">
        <v>450</v>
      </c>
      <c r="B58" s="351" t="s">
        <v>278</v>
      </c>
      <c r="C58" s="351"/>
      <c r="D58" s="373" t="s">
        <v>38</v>
      </c>
      <c r="E58" s="373"/>
      <c r="F58" s="373"/>
      <c r="G58" s="373"/>
      <c r="H58" s="373"/>
      <c r="I58" s="373"/>
      <c r="J58" s="450"/>
      <c r="K58" s="450"/>
      <c r="L58" s="354"/>
      <c r="M58" s="354"/>
      <c r="N58" s="356">
        <f>O58+SUM(U58)</f>
        <v>114</v>
      </c>
      <c r="O58" s="356">
        <f>SUM(P58:R58)</f>
        <v>76</v>
      </c>
      <c r="P58" s="356">
        <f t="shared" si="84"/>
        <v>76</v>
      </c>
      <c r="Q58" s="356">
        <f t="shared" si="84"/>
        <v>0</v>
      </c>
      <c r="R58" s="356">
        <f t="shared" si="84"/>
        <v>0</v>
      </c>
      <c r="S58" s="356">
        <f aca="true" t="shared" si="87" ref="S58:T60">Z58+AG58+AN58+AU58+BB58+BI58+BP58+BW58+CE58+CM58</f>
        <v>0</v>
      </c>
      <c r="T58" s="356">
        <f t="shared" si="87"/>
        <v>0</v>
      </c>
      <c r="U58" s="356">
        <f>AB58+AI58+AP58+AW58+BD58+BK58+BR58+BY58+CG58+CO58</f>
        <v>38</v>
      </c>
      <c r="V58" s="357">
        <f>SUM(W58:AB58)</f>
        <v>0</v>
      </c>
      <c r="W58" s="354"/>
      <c r="X58" s="354"/>
      <c r="Y58" s="354"/>
      <c r="Z58" s="354"/>
      <c r="AA58" s="354"/>
      <c r="AB58" s="354"/>
      <c r="AC58" s="357">
        <f>SUM(AD58:AI58)</f>
        <v>0</v>
      </c>
      <c r="AD58" s="354"/>
      <c r="AE58" s="354"/>
      <c r="AF58" s="354"/>
      <c r="AG58" s="354"/>
      <c r="AH58" s="354"/>
      <c r="AI58" s="354"/>
      <c r="AJ58" s="357">
        <f>SUM(AK58:AP58)</f>
        <v>0</v>
      </c>
      <c r="AK58" s="354"/>
      <c r="AL58" s="354"/>
      <c r="AM58" s="354"/>
      <c r="AN58" s="354"/>
      <c r="AO58" s="354"/>
      <c r="AP58" s="354"/>
      <c r="AQ58" s="357">
        <f>SUM(AR58:AW58)</f>
        <v>114</v>
      </c>
      <c r="AR58" s="354">
        <v>76</v>
      </c>
      <c r="AS58" s="354"/>
      <c r="AT58" s="354"/>
      <c r="AU58" s="354"/>
      <c r="AV58" s="354"/>
      <c r="AW58" s="358">
        <f>(SUM(AR58:AU58)/2)</f>
        <v>38</v>
      </c>
      <c r="AX58" s="357">
        <f>SUM(AY58:BD58)</f>
        <v>0</v>
      </c>
      <c r="AY58" s="354"/>
      <c r="AZ58" s="354"/>
      <c r="BA58" s="354"/>
      <c r="BB58" s="354"/>
      <c r="BC58" s="354"/>
      <c r="BD58" s="354"/>
      <c r="BE58" s="357">
        <f>SUM(BF58:BK58)</f>
        <v>0</v>
      </c>
      <c r="BF58" s="354"/>
      <c r="BG58" s="354"/>
      <c r="BH58" s="354"/>
      <c r="BI58" s="354"/>
      <c r="BJ58" s="354"/>
      <c r="BK58" s="354"/>
      <c r="BL58" s="357">
        <f>SUM(BM58:BR58)</f>
        <v>0</v>
      </c>
      <c r="BM58" s="354"/>
      <c r="BN58" s="354"/>
      <c r="BO58" s="354"/>
      <c r="BP58" s="354"/>
      <c r="BQ58" s="354"/>
      <c r="BR58" s="354"/>
      <c r="BS58" s="357">
        <f>SUM(BT58:BY58)</f>
        <v>0</v>
      </c>
      <c r="BT58" s="354"/>
      <c r="BU58" s="354"/>
      <c r="BV58" s="354"/>
      <c r="BW58" s="354"/>
      <c r="BX58" s="354"/>
      <c r="BY58" s="358">
        <f>(SUM(BT58:BW58)/2)</f>
        <v>0</v>
      </c>
      <c r="BZ58" s="369">
        <f>SUM(CA58:CG58)</f>
        <v>0</v>
      </c>
      <c r="CA58" s="354"/>
      <c r="CB58" s="354"/>
      <c r="CC58" s="354"/>
      <c r="CD58" s="354"/>
      <c r="CE58" s="354"/>
      <c r="CF58" s="354"/>
      <c r="CG58" s="354"/>
      <c r="CH58" s="369">
        <f>SUM(CI58:CO58)</f>
        <v>0</v>
      </c>
      <c r="CI58" s="354"/>
      <c r="CJ58" s="354"/>
      <c r="CK58" s="354"/>
      <c r="CL58" s="354"/>
      <c r="CM58" s="354"/>
      <c r="CN58" s="354"/>
      <c r="CO58" s="354"/>
      <c r="CP58" s="373" t="s">
        <v>544</v>
      </c>
      <c r="CQ58" s="817" t="s">
        <v>301</v>
      </c>
      <c r="CR58" s="379"/>
      <c r="CS58" s="379"/>
      <c r="CT58" s="379"/>
    </row>
    <row r="59" spans="1:96" s="368" customFormat="1" ht="35.25" customHeight="1">
      <c r="A59" s="347" t="s">
        <v>451</v>
      </c>
      <c r="B59" s="352" t="s">
        <v>238</v>
      </c>
      <c r="C59" s="352"/>
      <c r="D59" s="353"/>
      <c r="E59" s="353" t="s">
        <v>424</v>
      </c>
      <c r="F59" s="373"/>
      <c r="G59" s="373"/>
      <c r="H59" s="373" t="s">
        <v>36</v>
      </c>
      <c r="I59" s="353" t="s">
        <v>459</v>
      </c>
      <c r="J59" s="450"/>
      <c r="K59" s="450"/>
      <c r="L59" s="358"/>
      <c r="M59" s="358"/>
      <c r="N59" s="356">
        <f>O59+SUM(U59)</f>
        <v>305</v>
      </c>
      <c r="O59" s="356">
        <f>SUM(P59:R59)</f>
        <v>203</v>
      </c>
      <c r="P59" s="356">
        <f t="shared" si="84"/>
        <v>183</v>
      </c>
      <c r="Q59" s="356">
        <f t="shared" si="84"/>
        <v>0</v>
      </c>
      <c r="R59" s="356">
        <f t="shared" si="84"/>
        <v>20</v>
      </c>
      <c r="S59" s="356">
        <f t="shared" si="87"/>
        <v>0</v>
      </c>
      <c r="T59" s="356">
        <f t="shared" si="87"/>
        <v>0</v>
      </c>
      <c r="U59" s="356">
        <f>AB59+AI59+AP59+AW59+BD59+BK59+BR59+BY59+CG59+CO59</f>
        <v>102</v>
      </c>
      <c r="V59" s="357">
        <f>SUM(W59:AB59)</f>
        <v>0</v>
      </c>
      <c r="W59" s="358"/>
      <c r="X59" s="358"/>
      <c r="Y59" s="358"/>
      <c r="Z59" s="358"/>
      <c r="AA59" s="358"/>
      <c r="AB59" s="358"/>
      <c r="AC59" s="357">
        <f>SUM(AD59:AI59)</f>
        <v>0</v>
      </c>
      <c r="AD59" s="358"/>
      <c r="AE59" s="358"/>
      <c r="AF59" s="358"/>
      <c r="AG59" s="358"/>
      <c r="AH59" s="358"/>
      <c r="AI59" s="358"/>
      <c r="AJ59" s="357">
        <f>SUM(AK59:AP59)</f>
        <v>0</v>
      </c>
      <c r="AK59" s="358"/>
      <c r="AL59" s="358"/>
      <c r="AM59" s="358"/>
      <c r="AN59" s="358"/>
      <c r="AO59" s="358"/>
      <c r="AP59" s="358"/>
      <c r="AQ59" s="357">
        <f>SUM(AR59:AW59)</f>
        <v>0</v>
      </c>
      <c r="AR59" s="358"/>
      <c r="AS59" s="358"/>
      <c r="AT59" s="358"/>
      <c r="AU59" s="358"/>
      <c r="AV59" s="358"/>
      <c r="AW59" s="358"/>
      <c r="AX59" s="357">
        <f>SUM(AY59:BD59)</f>
        <v>77</v>
      </c>
      <c r="AY59" s="358">
        <v>51</v>
      </c>
      <c r="AZ59" s="358"/>
      <c r="BA59" s="358"/>
      <c r="BB59" s="358"/>
      <c r="BC59" s="358"/>
      <c r="BD59" s="358">
        <v>26</v>
      </c>
      <c r="BE59" s="357">
        <f>SUM(BF59:BK59)</f>
        <v>108</v>
      </c>
      <c r="BF59" s="358">
        <v>72</v>
      </c>
      <c r="BG59" s="358"/>
      <c r="BH59" s="358"/>
      <c r="BI59" s="358"/>
      <c r="BJ59" s="358"/>
      <c r="BK59" s="358">
        <f>(SUM(BF59:BI59)/2)</f>
        <v>36</v>
      </c>
      <c r="BL59" s="357">
        <f>SUM(BM59:BR59)</f>
        <v>48</v>
      </c>
      <c r="BM59" s="358">
        <v>32</v>
      </c>
      <c r="BN59" s="358"/>
      <c r="BO59" s="358"/>
      <c r="BP59" s="358"/>
      <c r="BQ59" s="358"/>
      <c r="BR59" s="358">
        <f>(SUM(BM59:BP59)/2)</f>
        <v>16</v>
      </c>
      <c r="BS59" s="357">
        <f>SUM(BT59:BY59)</f>
        <v>72</v>
      </c>
      <c r="BT59" s="354">
        <v>28</v>
      </c>
      <c r="BU59" s="354"/>
      <c r="BV59" s="354">
        <v>20</v>
      </c>
      <c r="BW59" s="358"/>
      <c r="BX59" s="358"/>
      <c r="BY59" s="358">
        <f>(SUM(BT59:BW59)/2)</f>
        <v>24</v>
      </c>
      <c r="BZ59" s="357">
        <f>SUM(CA59:CG59)</f>
        <v>0</v>
      </c>
      <c r="CA59" s="358"/>
      <c r="CB59" s="358"/>
      <c r="CC59" s="358"/>
      <c r="CD59" s="358"/>
      <c r="CE59" s="358"/>
      <c r="CF59" s="358"/>
      <c r="CG59" s="358"/>
      <c r="CH59" s="357">
        <f>SUM(CI59:CO59)</f>
        <v>0</v>
      </c>
      <c r="CI59" s="358"/>
      <c r="CJ59" s="358"/>
      <c r="CK59" s="358"/>
      <c r="CL59" s="358"/>
      <c r="CM59" s="358"/>
      <c r="CN59" s="358"/>
      <c r="CO59" s="358"/>
      <c r="CP59" s="373" t="s">
        <v>544</v>
      </c>
      <c r="CQ59" s="372" t="s">
        <v>301</v>
      </c>
      <c r="CR59" s="379"/>
    </row>
    <row r="60" spans="1:96" s="368" customFormat="1" ht="36" customHeight="1">
      <c r="A60" s="347" t="s">
        <v>452</v>
      </c>
      <c r="B60" s="352" t="s">
        <v>239</v>
      </c>
      <c r="C60" s="352"/>
      <c r="D60" s="353"/>
      <c r="E60" s="353" t="s">
        <v>36</v>
      </c>
      <c r="F60" s="353"/>
      <c r="G60" s="353"/>
      <c r="H60" s="353"/>
      <c r="I60" s="353" t="s">
        <v>41</v>
      </c>
      <c r="J60" s="450"/>
      <c r="K60" s="450"/>
      <c r="L60" s="358"/>
      <c r="M60" s="358"/>
      <c r="N60" s="356">
        <f>O60+SUM(U60)</f>
        <v>156</v>
      </c>
      <c r="O60" s="356">
        <f>SUM(P60:R60)</f>
        <v>104</v>
      </c>
      <c r="P60" s="356">
        <f t="shared" si="84"/>
        <v>104</v>
      </c>
      <c r="Q60" s="356">
        <f t="shared" si="84"/>
        <v>0</v>
      </c>
      <c r="R60" s="356">
        <f t="shared" si="84"/>
        <v>0</v>
      </c>
      <c r="S60" s="356">
        <f t="shared" si="87"/>
        <v>0</v>
      </c>
      <c r="T60" s="356">
        <f t="shared" si="87"/>
        <v>0</v>
      </c>
      <c r="U60" s="356">
        <f>AB60+AI60+AP60+AW60+BD60+BK60+BR60+BY60+CG60+CO60</f>
        <v>52</v>
      </c>
      <c r="V60" s="357">
        <f>SUM(W60:AB60)</f>
        <v>0</v>
      </c>
      <c r="W60" s="358"/>
      <c r="X60" s="358"/>
      <c r="Y60" s="358"/>
      <c r="Z60" s="358"/>
      <c r="AA60" s="358"/>
      <c r="AB60" s="358"/>
      <c r="AC60" s="357">
        <f>SUM(AD60:AI60)</f>
        <v>0</v>
      </c>
      <c r="AD60" s="358"/>
      <c r="AE60" s="358"/>
      <c r="AF60" s="358"/>
      <c r="AG60" s="358"/>
      <c r="AH60" s="358"/>
      <c r="AI60" s="358"/>
      <c r="AJ60" s="357">
        <f>SUM(AK60:AP60)</f>
        <v>0</v>
      </c>
      <c r="AK60" s="358"/>
      <c r="AL60" s="358"/>
      <c r="AM60" s="358"/>
      <c r="AN60" s="358"/>
      <c r="AO60" s="358"/>
      <c r="AP60" s="358"/>
      <c r="AQ60" s="357">
        <f>SUM(AR60:AW60)</f>
        <v>0</v>
      </c>
      <c r="AR60" s="358"/>
      <c r="AS60" s="358"/>
      <c r="AT60" s="358"/>
      <c r="AU60" s="358"/>
      <c r="AV60" s="358"/>
      <c r="AW60" s="358"/>
      <c r="AX60" s="357">
        <f>SUM(AY60:BD60)</f>
        <v>0</v>
      </c>
      <c r="AY60" s="358"/>
      <c r="AZ60" s="358"/>
      <c r="BA60" s="358"/>
      <c r="BB60" s="358"/>
      <c r="BC60" s="358"/>
      <c r="BD60" s="358"/>
      <c r="BE60" s="357">
        <f>SUM(BF60:BK60)</f>
        <v>0</v>
      </c>
      <c r="BF60" s="358"/>
      <c r="BG60" s="358"/>
      <c r="BH60" s="358"/>
      <c r="BI60" s="358"/>
      <c r="BJ60" s="358"/>
      <c r="BK60" s="358"/>
      <c r="BL60" s="357">
        <f>SUM(BM60:BR60)</f>
        <v>48</v>
      </c>
      <c r="BM60" s="358">
        <v>32</v>
      </c>
      <c r="BN60" s="358"/>
      <c r="BO60" s="358"/>
      <c r="BP60" s="358"/>
      <c r="BQ60" s="358"/>
      <c r="BR60" s="358">
        <f>(SUM(BM60:BP60)/2)</f>
        <v>16</v>
      </c>
      <c r="BS60" s="357">
        <f>SUM(BT60:BY60)</f>
        <v>108</v>
      </c>
      <c r="BT60" s="354">
        <v>72</v>
      </c>
      <c r="BU60" s="358"/>
      <c r="BV60" s="358"/>
      <c r="BW60" s="358"/>
      <c r="BX60" s="358"/>
      <c r="BY60" s="358">
        <f>(SUM(BT60:BW60)/2)</f>
        <v>36</v>
      </c>
      <c r="BZ60" s="357">
        <f>SUM(CA60:CG60)</f>
        <v>0</v>
      </c>
      <c r="CA60" s="358"/>
      <c r="CB60" s="358"/>
      <c r="CC60" s="358"/>
      <c r="CD60" s="358"/>
      <c r="CE60" s="358"/>
      <c r="CF60" s="358"/>
      <c r="CG60" s="358"/>
      <c r="CH60" s="357">
        <f>SUM(CI60:CO60)</f>
        <v>0</v>
      </c>
      <c r="CI60" s="358"/>
      <c r="CJ60" s="358"/>
      <c r="CK60" s="358"/>
      <c r="CL60" s="358"/>
      <c r="CM60" s="358"/>
      <c r="CN60" s="358"/>
      <c r="CO60" s="358"/>
      <c r="CP60" s="373" t="s">
        <v>544</v>
      </c>
      <c r="CQ60" s="372" t="s">
        <v>301</v>
      </c>
      <c r="CR60" s="379"/>
    </row>
    <row r="61" spans="1:96" s="400" customFormat="1" ht="28.5" customHeight="1">
      <c r="A61" s="424" t="s">
        <v>340</v>
      </c>
      <c r="B61" s="424"/>
      <c r="C61" s="424"/>
      <c r="D61" s="418" t="s">
        <v>36</v>
      </c>
      <c r="E61" s="425"/>
      <c r="F61" s="424"/>
      <c r="G61" s="424"/>
      <c r="H61" s="424"/>
      <c r="I61" s="424"/>
      <c r="J61" s="453"/>
      <c r="K61" s="453"/>
      <c r="L61" s="420"/>
      <c r="M61" s="420"/>
      <c r="N61" s="421"/>
      <c r="O61" s="421"/>
      <c r="P61" s="421"/>
      <c r="Q61" s="421"/>
      <c r="R61" s="421"/>
      <c r="S61" s="421"/>
      <c r="T61" s="421"/>
      <c r="U61" s="421"/>
      <c r="V61" s="421"/>
      <c r="W61" s="420"/>
      <c r="X61" s="420"/>
      <c r="Y61" s="420"/>
      <c r="Z61" s="420"/>
      <c r="AA61" s="420"/>
      <c r="AB61" s="420"/>
      <c r="AC61" s="421"/>
      <c r="AD61" s="420"/>
      <c r="AE61" s="420"/>
      <c r="AF61" s="420"/>
      <c r="AG61" s="420"/>
      <c r="AH61" s="420"/>
      <c r="AI61" s="420"/>
      <c r="AJ61" s="421"/>
      <c r="AK61" s="420"/>
      <c r="AL61" s="420"/>
      <c r="AM61" s="420"/>
      <c r="AN61" s="420"/>
      <c r="AO61" s="420"/>
      <c r="AP61" s="420"/>
      <c r="AQ61" s="421"/>
      <c r="AR61" s="420"/>
      <c r="AS61" s="420"/>
      <c r="AT61" s="420"/>
      <c r="AU61" s="420"/>
      <c r="AV61" s="420"/>
      <c r="AW61" s="420"/>
      <c r="AX61" s="421"/>
      <c r="AY61" s="420"/>
      <c r="AZ61" s="420"/>
      <c r="BA61" s="420"/>
      <c r="BB61" s="420"/>
      <c r="BC61" s="420"/>
      <c r="BD61" s="420"/>
      <c r="BE61" s="421"/>
      <c r="BF61" s="420"/>
      <c r="BG61" s="420"/>
      <c r="BH61" s="420"/>
      <c r="BI61" s="420"/>
      <c r="BJ61" s="420"/>
      <c r="BK61" s="420"/>
      <c r="BL61" s="421"/>
      <c r="BM61" s="420"/>
      <c r="BN61" s="420"/>
      <c r="BO61" s="420"/>
      <c r="BP61" s="420"/>
      <c r="BQ61" s="420"/>
      <c r="BR61" s="420"/>
      <c r="BS61" s="421"/>
      <c r="BT61" s="420"/>
      <c r="BU61" s="420"/>
      <c r="BV61" s="420"/>
      <c r="BW61" s="420"/>
      <c r="BX61" s="420"/>
      <c r="BY61" s="420"/>
      <c r="BZ61" s="421"/>
      <c r="CA61" s="420"/>
      <c r="CB61" s="420"/>
      <c r="CC61" s="420"/>
      <c r="CD61" s="420"/>
      <c r="CE61" s="420"/>
      <c r="CF61" s="420"/>
      <c r="CG61" s="420"/>
      <c r="CH61" s="421"/>
      <c r="CI61" s="420"/>
      <c r="CJ61" s="420"/>
      <c r="CK61" s="420"/>
      <c r="CL61" s="420"/>
      <c r="CM61" s="420"/>
      <c r="CN61" s="420"/>
      <c r="CO61" s="420"/>
      <c r="CP61" s="422"/>
      <c r="CQ61" s="423">
        <v>0</v>
      </c>
      <c r="CR61" s="429"/>
    </row>
    <row r="62" spans="1:96" s="368" customFormat="1" ht="36" customHeight="1">
      <c r="A62" s="383" t="s">
        <v>140</v>
      </c>
      <c r="B62" s="564" t="s">
        <v>141</v>
      </c>
      <c r="C62" s="565"/>
      <c r="D62" s="565"/>
      <c r="E62" s="565"/>
      <c r="F62" s="565"/>
      <c r="G62" s="565"/>
      <c r="H62" s="565"/>
      <c r="I62" s="566"/>
      <c r="J62" s="452"/>
      <c r="K62" s="452"/>
      <c r="L62" s="374"/>
      <c r="M62" s="374"/>
      <c r="N62" s="375">
        <f>O62+SUM(U62:U62)</f>
        <v>204</v>
      </c>
      <c r="O62" s="375">
        <f>SUM(P62:T62)</f>
        <v>136</v>
      </c>
      <c r="P62" s="375">
        <f aca="true" t="shared" si="88" ref="P62:R63">W62+AD62+AK62+AR62+AY62+BF62+BM62+BT62+CB62+CJ62</f>
        <v>108</v>
      </c>
      <c r="Q62" s="375">
        <f t="shared" si="88"/>
        <v>28</v>
      </c>
      <c r="R62" s="375">
        <f t="shared" si="88"/>
        <v>0</v>
      </c>
      <c r="S62" s="375"/>
      <c r="T62" s="375">
        <f>AA62+AH62+AO62+AV62+BC62+BJ62+BQ62+BX62+CE62+CM62</f>
        <v>0</v>
      </c>
      <c r="U62" s="375">
        <f>AB62+AI62+AP62+AW62+BD62+BK62+BR62+BY62+CG62+CO62</f>
        <v>68</v>
      </c>
      <c r="V62" s="375">
        <f>SUM(W62:AB62)</f>
        <v>0</v>
      </c>
      <c r="W62" s="375">
        <f>SUM(W63:W63)</f>
        <v>0</v>
      </c>
      <c r="X62" s="375">
        <f>SUM(X63:X63)</f>
        <v>0</v>
      </c>
      <c r="Y62" s="375">
        <f>SUM(Y63:Y63)</f>
        <v>0</v>
      </c>
      <c r="Z62" s="375"/>
      <c r="AA62" s="375">
        <f>SUM(AA63:AA63)</f>
        <v>0</v>
      </c>
      <c r="AB62" s="375">
        <f>SUM(AB63:AB63)</f>
        <v>0</v>
      </c>
      <c r="AC62" s="375">
        <f>SUM(AD62:AI62)</f>
        <v>0</v>
      </c>
      <c r="AD62" s="375">
        <f>SUM(AD63:AD63)</f>
        <v>0</v>
      </c>
      <c r="AE62" s="375">
        <f>SUM(AE63:AE63)</f>
        <v>0</v>
      </c>
      <c r="AF62" s="375">
        <f>SUM(AF63:AF63)</f>
        <v>0</v>
      </c>
      <c r="AG62" s="375"/>
      <c r="AH62" s="375">
        <f>SUM(AH63:AH63)</f>
        <v>0</v>
      </c>
      <c r="AI62" s="375">
        <f>SUM(AI63:AI63)</f>
        <v>0</v>
      </c>
      <c r="AJ62" s="375">
        <f>SUM(AK62:AP62)</f>
        <v>0</v>
      </c>
      <c r="AK62" s="375">
        <f>SUM(AK63:AK63)</f>
        <v>0</v>
      </c>
      <c r="AL62" s="375">
        <f>SUM(AL63:AL63)</f>
        <v>0</v>
      </c>
      <c r="AM62" s="375">
        <f>SUM(AM63:AM63)</f>
        <v>0</v>
      </c>
      <c r="AN62" s="375"/>
      <c r="AO62" s="375">
        <f>SUM(AO63:AO63)</f>
        <v>0</v>
      </c>
      <c r="AP62" s="375">
        <f>SUM(AP63:AP63)</f>
        <v>0</v>
      </c>
      <c r="AQ62" s="375">
        <f>SUM(AR62:AW62)</f>
        <v>0</v>
      </c>
      <c r="AR62" s="375">
        <f>SUM(AR63:AR63)</f>
        <v>0</v>
      </c>
      <c r="AS62" s="375">
        <f>SUM(AS63:AS63)</f>
        <v>0</v>
      </c>
      <c r="AT62" s="375">
        <f>SUM(AT63:AT63)</f>
        <v>0</v>
      </c>
      <c r="AU62" s="375"/>
      <c r="AV62" s="375">
        <f>SUM(AV63:AV63)</f>
        <v>0</v>
      </c>
      <c r="AW62" s="375">
        <f>SUM(AW63:AW63)</f>
        <v>0</v>
      </c>
      <c r="AX62" s="375">
        <f>SUM(AY62:BD62)</f>
        <v>0</v>
      </c>
      <c r="AY62" s="375">
        <f>SUM(AY63:AY63)</f>
        <v>0</v>
      </c>
      <c r="AZ62" s="375">
        <f>SUM(AZ63:AZ63)</f>
        <v>0</v>
      </c>
      <c r="BA62" s="375">
        <f>SUM(BA63:BA63)</f>
        <v>0</v>
      </c>
      <c r="BB62" s="375"/>
      <c r="BC62" s="375">
        <f>SUM(BC63:BC63)</f>
        <v>0</v>
      </c>
      <c r="BD62" s="375">
        <f>SUM(BD63:BD63)</f>
        <v>0</v>
      </c>
      <c r="BE62" s="375">
        <f>SUM(BF62:BK62)</f>
        <v>0</v>
      </c>
      <c r="BF62" s="375">
        <f>SUM(BF63:BF63)</f>
        <v>0</v>
      </c>
      <c r="BG62" s="375">
        <f>SUM(BG63:BG63)</f>
        <v>0</v>
      </c>
      <c r="BH62" s="375">
        <f>SUM(BH63:BH63)</f>
        <v>0</v>
      </c>
      <c r="BI62" s="375"/>
      <c r="BJ62" s="375">
        <f>SUM(BJ63:BJ63)</f>
        <v>0</v>
      </c>
      <c r="BK62" s="375">
        <f>SUM(BK63:BK63)</f>
        <v>0</v>
      </c>
      <c r="BL62" s="375">
        <f>SUM(BM62:BR62)</f>
        <v>96</v>
      </c>
      <c r="BM62" s="375">
        <f>SUM(BM63:BM63)</f>
        <v>64</v>
      </c>
      <c r="BN62" s="375">
        <f>SUM(BN63:BN63)</f>
        <v>0</v>
      </c>
      <c r="BO62" s="375">
        <f>SUM(BO63:BO63)</f>
        <v>0</v>
      </c>
      <c r="BP62" s="375"/>
      <c r="BQ62" s="375">
        <f>SUM(BQ63:BQ63)</f>
        <v>0</v>
      </c>
      <c r="BR62" s="375">
        <f>SUM(BR63:BR63)</f>
        <v>32</v>
      </c>
      <c r="BS62" s="375">
        <f>SUM(BT62:BY62)</f>
        <v>108</v>
      </c>
      <c r="BT62" s="375">
        <f>SUM(BT63:BT63)</f>
        <v>44</v>
      </c>
      <c r="BU62" s="375">
        <f>SUM(BU63:BU63)</f>
        <v>28</v>
      </c>
      <c r="BV62" s="375">
        <f>SUM(BV63:BV63)</f>
        <v>0</v>
      </c>
      <c r="BW62" s="375"/>
      <c r="BX62" s="375">
        <f>SUM(BX63:BX63)</f>
        <v>0</v>
      </c>
      <c r="BY62" s="375">
        <f>SUM(BY63:BY63)</f>
        <v>36</v>
      </c>
      <c r="BZ62" s="375">
        <f>SUM(CA62:CG62)</f>
        <v>0</v>
      </c>
      <c r="CA62" s="375"/>
      <c r="CB62" s="375">
        <f aca="true" t="shared" si="89" ref="CB62:CG62">SUM(CB63:CB63)</f>
        <v>0</v>
      </c>
      <c r="CC62" s="375">
        <f t="shared" si="89"/>
        <v>0</v>
      </c>
      <c r="CD62" s="375">
        <f t="shared" si="89"/>
        <v>0</v>
      </c>
      <c r="CE62" s="375">
        <f t="shared" si="89"/>
        <v>0</v>
      </c>
      <c r="CF62" s="375">
        <f t="shared" si="89"/>
        <v>0</v>
      </c>
      <c r="CG62" s="375">
        <f t="shared" si="89"/>
        <v>0</v>
      </c>
      <c r="CH62" s="375">
        <f>SUM(CI62:CO62)</f>
        <v>0</v>
      </c>
      <c r="CI62" s="375">
        <f aca="true" t="shared" si="90" ref="CI62:CO62">SUM(CI63:CI63)</f>
        <v>0</v>
      </c>
      <c r="CJ62" s="375">
        <f t="shared" si="90"/>
        <v>0</v>
      </c>
      <c r="CK62" s="375">
        <f t="shared" si="90"/>
        <v>0</v>
      </c>
      <c r="CL62" s="375">
        <f t="shared" si="90"/>
        <v>0</v>
      </c>
      <c r="CM62" s="375">
        <f t="shared" si="90"/>
        <v>0</v>
      </c>
      <c r="CN62" s="375">
        <f t="shared" si="90"/>
        <v>0</v>
      </c>
      <c r="CO62" s="375">
        <f t="shared" si="90"/>
        <v>0</v>
      </c>
      <c r="CP62" s="376" t="s">
        <v>544</v>
      </c>
      <c r="CQ62" s="374" t="s">
        <v>304</v>
      </c>
      <c r="CR62" s="379"/>
    </row>
    <row r="63" spans="1:96" s="368" customFormat="1" ht="54.75" customHeight="1">
      <c r="A63" s="378"/>
      <c r="B63" s="352" t="s">
        <v>512</v>
      </c>
      <c r="C63" s="352"/>
      <c r="D63" s="353"/>
      <c r="E63" s="353" t="s">
        <v>36</v>
      </c>
      <c r="F63" s="353"/>
      <c r="G63" s="353"/>
      <c r="H63" s="353"/>
      <c r="I63" s="353" t="s">
        <v>41</v>
      </c>
      <c r="J63" s="450"/>
      <c r="K63" s="450"/>
      <c r="L63" s="358"/>
      <c r="M63" s="358"/>
      <c r="N63" s="356">
        <f>O63+SUM(U63)</f>
        <v>204</v>
      </c>
      <c r="O63" s="356">
        <f>SUM(P63:R63)</f>
        <v>136</v>
      </c>
      <c r="P63" s="356">
        <f t="shared" si="88"/>
        <v>108</v>
      </c>
      <c r="Q63" s="356">
        <f t="shared" si="88"/>
        <v>28</v>
      </c>
      <c r="R63" s="356">
        <f t="shared" si="88"/>
        <v>0</v>
      </c>
      <c r="S63" s="356">
        <f>Z63+AG63+AN63+AU63+BB63+BI63+BP63+BW63+CE63+CM63</f>
        <v>0</v>
      </c>
      <c r="T63" s="356">
        <f>AA63+AH63+AO63+AV63+BC63+BJ63+BQ63+BX63+CF63+CN63</f>
        <v>0</v>
      </c>
      <c r="U63" s="356">
        <f>AB63+AI63+AP63+AW63+BD63+BK63+BR63+BY63+CG63+CO63</f>
        <v>68</v>
      </c>
      <c r="V63" s="357">
        <f>SUM(W63:AB63)</f>
        <v>0</v>
      </c>
      <c r="W63" s="358"/>
      <c r="X63" s="358"/>
      <c r="Y63" s="358"/>
      <c r="Z63" s="358"/>
      <c r="AA63" s="358"/>
      <c r="AB63" s="358"/>
      <c r="AC63" s="357">
        <f>SUM(AD63:AI63)</f>
        <v>0</v>
      </c>
      <c r="AD63" s="358"/>
      <c r="AE63" s="358"/>
      <c r="AF63" s="358"/>
      <c r="AG63" s="358"/>
      <c r="AH63" s="358"/>
      <c r="AI63" s="358"/>
      <c r="AJ63" s="357">
        <f>SUM(AK63:AP63)</f>
        <v>0</v>
      </c>
      <c r="AK63" s="358"/>
      <c r="AL63" s="358"/>
      <c r="AM63" s="358"/>
      <c r="AN63" s="358"/>
      <c r="AO63" s="358"/>
      <c r="AP63" s="358"/>
      <c r="AQ63" s="357">
        <f>SUM(AR63:AW63)</f>
        <v>0</v>
      </c>
      <c r="AR63" s="358"/>
      <c r="AS63" s="358"/>
      <c r="AT63" s="358"/>
      <c r="AU63" s="358"/>
      <c r="AV63" s="358"/>
      <c r="AW63" s="358"/>
      <c r="AX63" s="357">
        <f>SUM(AY63:BD63)</f>
        <v>0</v>
      </c>
      <c r="AY63" s="358"/>
      <c r="AZ63" s="358"/>
      <c r="BA63" s="358"/>
      <c r="BB63" s="358"/>
      <c r="BC63" s="358"/>
      <c r="BD63" s="358"/>
      <c r="BE63" s="357">
        <f>SUM(BF63:BK63)</f>
        <v>0</v>
      </c>
      <c r="BF63" s="358"/>
      <c r="BG63" s="358"/>
      <c r="BH63" s="358"/>
      <c r="BI63" s="358"/>
      <c r="BJ63" s="358"/>
      <c r="BK63" s="358"/>
      <c r="BL63" s="357">
        <f>SUM(BM63:BR63)</f>
        <v>96</v>
      </c>
      <c r="BM63" s="354">
        <v>64</v>
      </c>
      <c r="BN63" s="358"/>
      <c r="BO63" s="358"/>
      <c r="BP63" s="358"/>
      <c r="BQ63" s="358"/>
      <c r="BR63" s="358">
        <f>(SUM(BM63:BP63)/2)</f>
        <v>32</v>
      </c>
      <c r="BS63" s="357">
        <f>SUM(BT63:BY63)</f>
        <v>108</v>
      </c>
      <c r="BT63" s="354">
        <v>44</v>
      </c>
      <c r="BU63" s="354">
        <v>28</v>
      </c>
      <c r="BV63" s="358"/>
      <c r="BW63" s="358"/>
      <c r="BX63" s="358"/>
      <c r="BY63" s="358">
        <f>(SUM(BT63:BW63)/2)</f>
        <v>36</v>
      </c>
      <c r="BZ63" s="357">
        <f>SUM(CA63:CG63)</f>
        <v>0</v>
      </c>
      <c r="CA63" s="358"/>
      <c r="CB63" s="358"/>
      <c r="CC63" s="358"/>
      <c r="CD63" s="358"/>
      <c r="CE63" s="358"/>
      <c r="CF63" s="358"/>
      <c r="CG63" s="358"/>
      <c r="CH63" s="357">
        <f>SUM(CI63:CO63)</f>
        <v>0</v>
      </c>
      <c r="CI63" s="358"/>
      <c r="CJ63" s="358"/>
      <c r="CK63" s="358"/>
      <c r="CL63" s="358"/>
      <c r="CM63" s="358"/>
      <c r="CN63" s="358"/>
      <c r="CO63" s="358"/>
      <c r="CP63" s="373" t="s">
        <v>544</v>
      </c>
      <c r="CQ63" s="372" t="s">
        <v>304</v>
      </c>
      <c r="CR63" s="379"/>
    </row>
    <row r="64" spans="1:96" s="400" customFormat="1" ht="29.25" customHeight="1">
      <c r="A64" s="416" t="s">
        <v>340</v>
      </c>
      <c r="B64" s="417"/>
      <c r="C64" s="417"/>
      <c r="D64" s="418" t="s">
        <v>36</v>
      </c>
      <c r="E64" s="419"/>
      <c r="F64" s="417"/>
      <c r="G64" s="417"/>
      <c r="H64" s="417"/>
      <c r="I64" s="417"/>
      <c r="J64" s="454"/>
      <c r="K64" s="454"/>
      <c r="L64" s="420"/>
      <c r="M64" s="420"/>
      <c r="N64" s="421"/>
      <c r="O64" s="421"/>
      <c r="P64" s="421"/>
      <c r="Q64" s="421"/>
      <c r="R64" s="421"/>
      <c r="S64" s="421"/>
      <c r="T64" s="421"/>
      <c r="U64" s="421"/>
      <c r="V64" s="421"/>
      <c r="W64" s="420"/>
      <c r="X64" s="420"/>
      <c r="Y64" s="420"/>
      <c r="Z64" s="420"/>
      <c r="AA64" s="420"/>
      <c r="AB64" s="420"/>
      <c r="AC64" s="421"/>
      <c r="AD64" s="420"/>
      <c r="AE64" s="420"/>
      <c r="AF64" s="420"/>
      <c r="AG64" s="420"/>
      <c r="AH64" s="420"/>
      <c r="AI64" s="420"/>
      <c r="AJ64" s="421"/>
      <c r="AK64" s="420"/>
      <c r="AL64" s="420"/>
      <c r="AM64" s="420"/>
      <c r="AN64" s="420"/>
      <c r="AO64" s="420"/>
      <c r="AP64" s="420"/>
      <c r="AQ64" s="421"/>
      <c r="AR64" s="420"/>
      <c r="AS64" s="420"/>
      <c r="AT64" s="420"/>
      <c r="AU64" s="420"/>
      <c r="AV64" s="420"/>
      <c r="AW64" s="420"/>
      <c r="AX64" s="421"/>
      <c r="AY64" s="420"/>
      <c r="AZ64" s="420"/>
      <c r="BA64" s="420"/>
      <c r="BB64" s="420"/>
      <c r="BC64" s="420"/>
      <c r="BD64" s="420"/>
      <c r="BE64" s="421"/>
      <c r="BF64" s="420"/>
      <c r="BG64" s="420"/>
      <c r="BH64" s="420"/>
      <c r="BI64" s="420"/>
      <c r="BJ64" s="420"/>
      <c r="BK64" s="420"/>
      <c r="BL64" s="421"/>
      <c r="BM64" s="420"/>
      <c r="BN64" s="420"/>
      <c r="BO64" s="420"/>
      <c r="BP64" s="420"/>
      <c r="BQ64" s="420"/>
      <c r="BR64" s="420"/>
      <c r="BS64" s="421"/>
      <c r="BT64" s="420"/>
      <c r="BU64" s="420"/>
      <c r="BV64" s="420"/>
      <c r="BW64" s="420"/>
      <c r="BX64" s="420"/>
      <c r="BY64" s="420"/>
      <c r="BZ64" s="421"/>
      <c r="CA64" s="420"/>
      <c r="CB64" s="420"/>
      <c r="CC64" s="420"/>
      <c r="CD64" s="420"/>
      <c r="CE64" s="420"/>
      <c r="CF64" s="420"/>
      <c r="CG64" s="420"/>
      <c r="CH64" s="421"/>
      <c r="CI64" s="420"/>
      <c r="CJ64" s="420"/>
      <c r="CK64" s="420"/>
      <c r="CL64" s="420"/>
      <c r="CM64" s="420"/>
      <c r="CN64" s="420"/>
      <c r="CO64" s="420"/>
      <c r="CP64" s="422"/>
      <c r="CQ64" s="423">
        <v>0</v>
      </c>
      <c r="CR64" s="429"/>
    </row>
    <row r="65" spans="1:97" s="380" customFormat="1" ht="25.5" customHeight="1">
      <c r="A65" s="370" t="s">
        <v>375</v>
      </c>
      <c r="B65" s="575" t="s">
        <v>308</v>
      </c>
      <c r="C65" s="576"/>
      <c r="D65" s="576"/>
      <c r="E65" s="576"/>
      <c r="F65" s="576"/>
      <c r="G65" s="576"/>
      <c r="H65" s="576"/>
      <c r="I65" s="577"/>
      <c r="J65" s="449">
        <f>K65*O65</f>
        <v>602.598</v>
      </c>
      <c r="K65" s="458">
        <f>L65/M65</f>
        <v>1.499</v>
      </c>
      <c r="L65" s="349">
        <f>Нормы!D15</f>
        <v>1358</v>
      </c>
      <c r="M65" s="349">
        <f>Нормы!E15</f>
        <v>906</v>
      </c>
      <c r="N65" s="349">
        <f>SUM(N66:N71)</f>
        <v>602</v>
      </c>
      <c r="O65" s="349">
        <f>SUM(O66:O71)</f>
        <v>402</v>
      </c>
      <c r="P65" s="349">
        <f>SUM(P66:P71)</f>
        <v>382</v>
      </c>
      <c r="Q65" s="349">
        <f>SUM(Q66:Q71)</f>
        <v>0</v>
      </c>
      <c r="R65" s="349">
        <f>SUM(R66:R70)</f>
        <v>20</v>
      </c>
      <c r="S65" s="349"/>
      <c r="T65" s="349">
        <f>SUM(T66:T70)</f>
        <v>0</v>
      </c>
      <c r="U65" s="349">
        <f>SUM(U66:U71)</f>
        <v>200</v>
      </c>
      <c r="V65" s="349">
        <f>SUM(V66:V70)</f>
        <v>0</v>
      </c>
      <c r="W65" s="349">
        <f>SUM(W66:W70)</f>
        <v>0</v>
      </c>
      <c r="X65" s="349">
        <f>SUM(X66:X70)</f>
        <v>0</v>
      </c>
      <c r="Y65" s="349">
        <f>SUM(Y66:Y70)</f>
        <v>0</v>
      </c>
      <c r="Z65" s="349"/>
      <c r="AA65" s="349">
        <f aca="true" t="shared" si="91" ref="AA65:AF65">SUM(AA66:AA70)</f>
        <v>0</v>
      </c>
      <c r="AB65" s="349">
        <f t="shared" si="91"/>
        <v>0</v>
      </c>
      <c r="AC65" s="349">
        <f t="shared" si="91"/>
        <v>0</v>
      </c>
      <c r="AD65" s="349">
        <f t="shared" si="91"/>
        <v>0</v>
      </c>
      <c r="AE65" s="349">
        <f t="shared" si="91"/>
        <v>0</v>
      </c>
      <c r="AF65" s="349">
        <f t="shared" si="91"/>
        <v>0</v>
      </c>
      <c r="AG65" s="349"/>
      <c r="AH65" s="349">
        <f aca="true" t="shared" si="92" ref="AH65:AM65">SUM(AH66:AH70)</f>
        <v>0</v>
      </c>
      <c r="AI65" s="349">
        <f t="shared" si="92"/>
        <v>0</v>
      </c>
      <c r="AJ65" s="349">
        <f t="shared" si="92"/>
        <v>144</v>
      </c>
      <c r="AK65" s="349">
        <f>SUM(AK66:AK71)</f>
        <v>128</v>
      </c>
      <c r="AL65" s="349">
        <f t="shared" si="92"/>
        <v>0</v>
      </c>
      <c r="AM65" s="349">
        <f t="shared" si="92"/>
        <v>0</v>
      </c>
      <c r="AN65" s="349"/>
      <c r="AO65" s="349">
        <f>SUM(AO66:AO70)</f>
        <v>0</v>
      </c>
      <c r="AP65" s="349">
        <f>SUM(AP66:AP71)</f>
        <v>64</v>
      </c>
      <c r="AQ65" s="349">
        <f>SUM(AQ66:AQ71)</f>
        <v>114</v>
      </c>
      <c r="AR65" s="349">
        <f>SUM(AR66:AR71)</f>
        <v>76</v>
      </c>
      <c r="AS65" s="349">
        <f>SUM(AS66:AS70)</f>
        <v>0</v>
      </c>
      <c r="AT65" s="349">
        <f>SUM(AT66:AT70)</f>
        <v>0</v>
      </c>
      <c r="AU65" s="349"/>
      <c r="AV65" s="349">
        <f>SUM(AV66:AV70)</f>
        <v>0</v>
      </c>
      <c r="AW65" s="349">
        <f>SUM(AW66:AW71)</f>
        <v>38</v>
      </c>
      <c r="AX65" s="349">
        <f>SUM(AX66:AX70)</f>
        <v>152</v>
      </c>
      <c r="AY65" s="349">
        <f>SUM(AY66:AY70)</f>
        <v>102</v>
      </c>
      <c r="AZ65" s="349">
        <f>SUM(AZ66:AZ70)</f>
        <v>0</v>
      </c>
      <c r="BA65" s="349">
        <f>SUM(BA66:BA70)</f>
        <v>0</v>
      </c>
      <c r="BB65" s="349"/>
      <c r="BC65" s="349">
        <f aca="true" t="shared" si="93" ref="BC65:BH65">SUM(BC66:BC70)</f>
        <v>0</v>
      </c>
      <c r="BD65" s="349">
        <f t="shared" si="93"/>
        <v>50</v>
      </c>
      <c r="BE65" s="349">
        <f t="shared" si="93"/>
        <v>144</v>
      </c>
      <c r="BF65" s="349">
        <f t="shared" si="93"/>
        <v>76</v>
      </c>
      <c r="BG65" s="349">
        <f t="shared" si="93"/>
        <v>0</v>
      </c>
      <c r="BH65" s="349">
        <f t="shared" si="93"/>
        <v>20</v>
      </c>
      <c r="BI65" s="349"/>
      <c r="BJ65" s="349">
        <f aca="true" t="shared" si="94" ref="BJ65:BO65">SUM(BJ66:BJ70)</f>
        <v>0</v>
      </c>
      <c r="BK65" s="349">
        <f t="shared" si="94"/>
        <v>48</v>
      </c>
      <c r="BL65" s="349">
        <f t="shared" si="94"/>
        <v>0</v>
      </c>
      <c r="BM65" s="349">
        <f t="shared" si="94"/>
        <v>0</v>
      </c>
      <c r="BN65" s="349">
        <f t="shared" si="94"/>
        <v>0</v>
      </c>
      <c r="BO65" s="349">
        <f t="shared" si="94"/>
        <v>0</v>
      </c>
      <c r="BP65" s="349"/>
      <c r="BQ65" s="349">
        <f aca="true" t="shared" si="95" ref="BQ65:BV65">SUM(BQ66:BQ70)</f>
        <v>0</v>
      </c>
      <c r="BR65" s="349">
        <f t="shared" si="95"/>
        <v>0</v>
      </c>
      <c r="BS65" s="349">
        <f t="shared" si="95"/>
        <v>0</v>
      </c>
      <c r="BT65" s="349">
        <f t="shared" si="95"/>
        <v>0</v>
      </c>
      <c r="BU65" s="349">
        <f t="shared" si="95"/>
        <v>0</v>
      </c>
      <c r="BV65" s="349">
        <f t="shared" si="95"/>
        <v>0</v>
      </c>
      <c r="BW65" s="349"/>
      <c r="BX65" s="349">
        <f>SUM(BX66:BX70)</f>
        <v>0</v>
      </c>
      <c r="BY65" s="349">
        <f>SUM(BY66:BY70)</f>
        <v>0</v>
      </c>
      <c r="BZ65" s="349">
        <f>SUM(BZ66:BZ70)</f>
        <v>0</v>
      </c>
      <c r="CA65" s="349"/>
      <c r="CB65" s="349">
        <f aca="true" t="shared" si="96" ref="CB65:CO65">SUM(CB66:CB70)</f>
        <v>0</v>
      </c>
      <c r="CC65" s="349">
        <f t="shared" si="96"/>
        <v>0</v>
      </c>
      <c r="CD65" s="349">
        <f t="shared" si="96"/>
        <v>0</v>
      </c>
      <c r="CE65" s="349">
        <f t="shared" si="96"/>
        <v>0</v>
      </c>
      <c r="CF65" s="349">
        <f t="shared" si="96"/>
        <v>0</v>
      </c>
      <c r="CG65" s="349">
        <f t="shared" si="96"/>
        <v>0</v>
      </c>
      <c r="CH65" s="349">
        <f t="shared" si="96"/>
        <v>0</v>
      </c>
      <c r="CI65" s="349">
        <f t="shared" si="96"/>
        <v>0</v>
      </c>
      <c r="CJ65" s="349">
        <f t="shared" si="96"/>
        <v>0</v>
      </c>
      <c r="CK65" s="349">
        <f t="shared" si="96"/>
        <v>0</v>
      </c>
      <c r="CL65" s="349">
        <f t="shared" si="96"/>
        <v>0</v>
      </c>
      <c r="CM65" s="349">
        <f t="shared" si="96"/>
        <v>0</v>
      </c>
      <c r="CN65" s="349">
        <f t="shared" si="96"/>
        <v>0</v>
      </c>
      <c r="CO65" s="349">
        <f t="shared" si="96"/>
        <v>0</v>
      </c>
      <c r="CP65" s="371"/>
      <c r="CQ65" s="469">
        <v>0</v>
      </c>
      <c r="CR65" s="428"/>
      <c r="CS65" s="435">
        <f>SUM(N65-L65)</f>
        <v>-756</v>
      </c>
    </row>
    <row r="66" spans="1:98" s="487" customFormat="1" ht="25.5" customHeight="1">
      <c r="A66" s="378" t="s">
        <v>149</v>
      </c>
      <c r="B66" s="351" t="s">
        <v>281</v>
      </c>
      <c r="C66" s="351"/>
      <c r="D66" s="373"/>
      <c r="E66" s="373" t="s">
        <v>28</v>
      </c>
      <c r="F66" s="373"/>
      <c r="G66" s="373"/>
      <c r="H66" s="373"/>
      <c r="I66" s="373"/>
      <c r="J66" s="450"/>
      <c r="K66" s="450"/>
      <c r="L66" s="358"/>
      <c r="M66" s="358"/>
      <c r="N66" s="356">
        <f aca="true" t="shared" si="97" ref="N66:N71">O66+SUM(U66)</f>
        <v>72</v>
      </c>
      <c r="O66" s="356">
        <f aca="true" t="shared" si="98" ref="O66:O71">SUM(P66:R66)</f>
        <v>48</v>
      </c>
      <c r="P66" s="356">
        <f aca="true" t="shared" si="99" ref="P66:U67">W66+AD66+AK66+AR66+AY66+BF66+BM66+BT66+CB66+CJ66</f>
        <v>48</v>
      </c>
      <c r="Q66" s="356">
        <f t="shared" si="99"/>
        <v>0</v>
      </c>
      <c r="R66" s="356">
        <f t="shared" si="99"/>
        <v>0</v>
      </c>
      <c r="S66" s="356">
        <f t="shared" si="99"/>
        <v>0</v>
      </c>
      <c r="T66" s="356">
        <f t="shared" si="99"/>
        <v>0</v>
      </c>
      <c r="U66" s="356">
        <f t="shared" si="99"/>
        <v>24</v>
      </c>
      <c r="V66" s="357">
        <f>SUM(W66:AB66)</f>
        <v>0</v>
      </c>
      <c r="W66" s="358"/>
      <c r="X66" s="358"/>
      <c r="Y66" s="358"/>
      <c r="Z66" s="358"/>
      <c r="AA66" s="358"/>
      <c r="AB66" s="358"/>
      <c r="AC66" s="357">
        <f>SUM(AD66:AI66)</f>
        <v>0</v>
      </c>
      <c r="AD66" s="358"/>
      <c r="AE66" s="358"/>
      <c r="AF66" s="358"/>
      <c r="AG66" s="358"/>
      <c r="AH66" s="358"/>
      <c r="AI66" s="358"/>
      <c r="AJ66" s="357">
        <f>SUM(AK66:AP66)</f>
        <v>72</v>
      </c>
      <c r="AK66" s="358">
        <v>48</v>
      </c>
      <c r="AL66" s="358"/>
      <c r="AM66" s="358"/>
      <c r="AN66" s="358"/>
      <c r="AO66" s="358"/>
      <c r="AP66" s="358">
        <v>24</v>
      </c>
      <c r="AQ66" s="357">
        <f>SUM(AR66:AW66)</f>
        <v>0</v>
      </c>
      <c r="AR66" s="358"/>
      <c r="AS66" s="358"/>
      <c r="AT66" s="358"/>
      <c r="AU66" s="358"/>
      <c r="AV66" s="358"/>
      <c r="AW66" s="358"/>
      <c r="AX66" s="357">
        <f>SUM(AY66:BD66)</f>
        <v>0</v>
      </c>
      <c r="AY66" s="358"/>
      <c r="AZ66" s="358"/>
      <c r="BA66" s="358"/>
      <c r="BB66" s="358"/>
      <c r="BC66" s="358"/>
      <c r="BD66" s="358"/>
      <c r="BE66" s="357">
        <f aca="true" t="shared" si="100" ref="BE66:BE71">SUM(BF66:BK66)</f>
        <v>0</v>
      </c>
      <c r="BF66" s="358"/>
      <c r="BG66" s="358"/>
      <c r="BH66" s="358"/>
      <c r="BI66" s="358"/>
      <c r="BJ66" s="358"/>
      <c r="BK66" s="358"/>
      <c r="BL66" s="357">
        <f>SUM(BM66:BR66)</f>
        <v>0</v>
      </c>
      <c r="BM66" s="358"/>
      <c r="BN66" s="358"/>
      <c r="BO66" s="358"/>
      <c r="BP66" s="358"/>
      <c r="BQ66" s="358"/>
      <c r="BR66" s="358"/>
      <c r="BS66" s="357">
        <f>SUM(BT66:BY66)</f>
        <v>0</v>
      </c>
      <c r="BT66" s="358"/>
      <c r="BU66" s="358"/>
      <c r="BV66" s="358"/>
      <c r="BW66" s="358"/>
      <c r="BX66" s="358"/>
      <c r="BY66" s="358"/>
      <c r="BZ66" s="357"/>
      <c r="CA66" s="358"/>
      <c r="CB66" s="358"/>
      <c r="CC66" s="358"/>
      <c r="CD66" s="358"/>
      <c r="CE66" s="358"/>
      <c r="CF66" s="358"/>
      <c r="CG66" s="358"/>
      <c r="CH66" s="357"/>
      <c r="CI66" s="358"/>
      <c r="CJ66" s="358"/>
      <c r="CK66" s="358"/>
      <c r="CL66" s="358"/>
      <c r="CM66" s="358"/>
      <c r="CN66" s="358"/>
      <c r="CO66" s="358"/>
      <c r="CP66" s="373" t="s">
        <v>544</v>
      </c>
      <c r="CQ66" s="372" t="s">
        <v>473</v>
      </c>
      <c r="CR66" s="379"/>
      <c r="CS66" s="368"/>
      <c r="CT66" s="368"/>
    </row>
    <row r="67" spans="1:96" s="368" customFormat="1" ht="35.25" customHeight="1">
      <c r="A67" s="378" t="s">
        <v>150</v>
      </c>
      <c r="B67" s="351" t="s">
        <v>423</v>
      </c>
      <c r="C67" s="351"/>
      <c r="D67" s="373"/>
      <c r="E67" s="373" t="s">
        <v>40</v>
      </c>
      <c r="F67" s="373"/>
      <c r="G67" s="373"/>
      <c r="H67" s="373"/>
      <c r="I67" s="373"/>
      <c r="J67" s="450"/>
      <c r="K67" s="450"/>
      <c r="L67" s="358"/>
      <c r="M67" s="358"/>
      <c r="N67" s="356">
        <f t="shared" si="97"/>
        <v>72</v>
      </c>
      <c r="O67" s="356">
        <f t="shared" si="98"/>
        <v>48</v>
      </c>
      <c r="P67" s="356">
        <f t="shared" si="99"/>
        <v>48</v>
      </c>
      <c r="Q67" s="356">
        <f t="shared" si="99"/>
        <v>0</v>
      </c>
      <c r="R67" s="356">
        <f t="shared" si="99"/>
        <v>0</v>
      </c>
      <c r="S67" s="356">
        <f t="shared" si="99"/>
        <v>0</v>
      </c>
      <c r="T67" s="356">
        <f t="shared" si="99"/>
        <v>0</v>
      </c>
      <c r="U67" s="356">
        <f t="shared" si="99"/>
        <v>24</v>
      </c>
      <c r="V67" s="357"/>
      <c r="W67" s="358"/>
      <c r="X67" s="358"/>
      <c r="Y67" s="358"/>
      <c r="Z67" s="358"/>
      <c r="AA67" s="358"/>
      <c r="AB67" s="358"/>
      <c r="AC67" s="357"/>
      <c r="AD67" s="358"/>
      <c r="AE67" s="358"/>
      <c r="AF67" s="358"/>
      <c r="AG67" s="358"/>
      <c r="AH67" s="358"/>
      <c r="AI67" s="358"/>
      <c r="AJ67" s="357"/>
      <c r="AK67" s="358"/>
      <c r="AL67" s="358"/>
      <c r="AM67" s="358"/>
      <c r="AN67" s="358"/>
      <c r="AO67" s="358"/>
      <c r="AP67" s="358"/>
      <c r="AQ67" s="357"/>
      <c r="AR67" s="358"/>
      <c r="AS67" s="358"/>
      <c r="AT67" s="358"/>
      <c r="AU67" s="358"/>
      <c r="AV67" s="358"/>
      <c r="AW67" s="358"/>
      <c r="AX67" s="357"/>
      <c r="AY67" s="358"/>
      <c r="AZ67" s="358"/>
      <c r="BA67" s="358"/>
      <c r="BB67" s="358"/>
      <c r="BC67" s="358"/>
      <c r="BD67" s="358"/>
      <c r="BE67" s="357">
        <f t="shared" si="100"/>
        <v>72</v>
      </c>
      <c r="BF67" s="358">
        <v>48</v>
      </c>
      <c r="BG67" s="358"/>
      <c r="BH67" s="358"/>
      <c r="BI67" s="358"/>
      <c r="BJ67" s="358"/>
      <c r="BK67" s="358">
        <v>24</v>
      </c>
      <c r="BL67" s="357"/>
      <c r="BM67" s="358"/>
      <c r="BN67" s="358"/>
      <c r="BO67" s="358"/>
      <c r="BP67" s="358"/>
      <c r="BQ67" s="358"/>
      <c r="BR67" s="358"/>
      <c r="BS67" s="357"/>
      <c r="BT67" s="358"/>
      <c r="BU67" s="358"/>
      <c r="BV67" s="358"/>
      <c r="BW67" s="358"/>
      <c r="BX67" s="358"/>
      <c r="BY67" s="358"/>
      <c r="BZ67" s="357"/>
      <c r="CA67" s="358"/>
      <c r="CB67" s="358"/>
      <c r="CC67" s="358"/>
      <c r="CD67" s="358"/>
      <c r="CE67" s="358"/>
      <c r="CF67" s="358"/>
      <c r="CG67" s="358"/>
      <c r="CH67" s="357"/>
      <c r="CI67" s="358"/>
      <c r="CJ67" s="358"/>
      <c r="CK67" s="358"/>
      <c r="CL67" s="358"/>
      <c r="CM67" s="358"/>
      <c r="CN67" s="358"/>
      <c r="CO67" s="358"/>
      <c r="CP67" s="373" t="s">
        <v>544</v>
      </c>
      <c r="CQ67" s="372" t="s">
        <v>425</v>
      </c>
      <c r="CR67" s="379"/>
    </row>
    <row r="68" spans="1:98" s="486" customFormat="1" ht="36" customHeight="1">
      <c r="A68" s="378" t="s">
        <v>396</v>
      </c>
      <c r="B68" s="351" t="s">
        <v>363</v>
      </c>
      <c r="C68" s="351"/>
      <c r="D68" s="373"/>
      <c r="E68" s="373" t="s">
        <v>28</v>
      </c>
      <c r="F68" s="373"/>
      <c r="G68" s="373"/>
      <c r="H68" s="373"/>
      <c r="I68" s="373"/>
      <c r="J68" s="450"/>
      <c r="K68" s="450"/>
      <c r="L68" s="354"/>
      <c r="M68" s="354"/>
      <c r="N68" s="356">
        <f t="shared" si="97"/>
        <v>72</v>
      </c>
      <c r="O68" s="356">
        <f t="shared" si="98"/>
        <v>48</v>
      </c>
      <c r="P68" s="356">
        <f aca="true" t="shared" si="101" ref="P68:S71">W68+AD68+AK68+AR68+AY68+BF68+BM68+BT68+CB68+CJ68</f>
        <v>48</v>
      </c>
      <c r="Q68" s="356">
        <f t="shared" si="101"/>
        <v>0</v>
      </c>
      <c r="R68" s="356">
        <f t="shared" si="101"/>
        <v>0</v>
      </c>
      <c r="S68" s="356">
        <f t="shared" si="101"/>
        <v>0</v>
      </c>
      <c r="T68" s="356">
        <f aca="true" t="shared" si="102" ref="T68:U71">AA68+AH68+AO68+AV68+BC68+BJ68+BQ68+BX68+CF68+CN68</f>
        <v>0</v>
      </c>
      <c r="U68" s="356">
        <f t="shared" si="102"/>
        <v>24</v>
      </c>
      <c r="V68" s="357">
        <f>SUM(W68:AB68)</f>
        <v>0</v>
      </c>
      <c r="W68" s="354"/>
      <c r="X68" s="354"/>
      <c r="Y68" s="354"/>
      <c r="Z68" s="354"/>
      <c r="AA68" s="354"/>
      <c r="AB68" s="354"/>
      <c r="AC68" s="357">
        <f>SUM(AD68:AI68)</f>
        <v>0</v>
      </c>
      <c r="AD68" s="354"/>
      <c r="AE68" s="354"/>
      <c r="AF68" s="354"/>
      <c r="AG68" s="354"/>
      <c r="AH68" s="354"/>
      <c r="AI68" s="354"/>
      <c r="AJ68" s="357">
        <f>SUM(AK68:AP68)</f>
        <v>72</v>
      </c>
      <c r="AK68" s="354">
        <v>48</v>
      </c>
      <c r="AL68" s="354"/>
      <c r="AM68" s="354"/>
      <c r="AN68" s="354"/>
      <c r="AO68" s="354"/>
      <c r="AP68" s="354">
        <v>24</v>
      </c>
      <c r="AQ68" s="357">
        <f>SUM(AR68:AW68)</f>
        <v>0</v>
      </c>
      <c r="AR68" s="354"/>
      <c r="AS68" s="354"/>
      <c r="AT68" s="354"/>
      <c r="AU68" s="354"/>
      <c r="AV68" s="354"/>
      <c r="AW68" s="354"/>
      <c r="AX68" s="357">
        <f>SUM(AY68:BD68)</f>
        <v>0</v>
      </c>
      <c r="AY68" s="354"/>
      <c r="AZ68" s="354"/>
      <c r="BA68" s="354"/>
      <c r="BB68" s="354"/>
      <c r="BC68" s="354"/>
      <c r="BD68" s="354"/>
      <c r="BE68" s="357">
        <f t="shared" si="100"/>
        <v>0</v>
      </c>
      <c r="BF68" s="354"/>
      <c r="BG68" s="354"/>
      <c r="BH68" s="354"/>
      <c r="BI68" s="354"/>
      <c r="BJ68" s="354"/>
      <c r="BK68" s="354"/>
      <c r="BL68" s="357">
        <f>SUM(BM68:BR68)</f>
        <v>0</v>
      </c>
      <c r="BM68" s="354"/>
      <c r="BN68" s="354"/>
      <c r="BO68" s="354"/>
      <c r="BP68" s="354"/>
      <c r="BQ68" s="354"/>
      <c r="BR68" s="354"/>
      <c r="BS68" s="357">
        <f>SUM(BT68:BY68)</f>
        <v>0</v>
      </c>
      <c r="BT68" s="354"/>
      <c r="BU68" s="354"/>
      <c r="BV68" s="354"/>
      <c r="BW68" s="354"/>
      <c r="BX68" s="354"/>
      <c r="BY68" s="354"/>
      <c r="BZ68" s="369"/>
      <c r="CA68" s="354"/>
      <c r="CB68" s="354"/>
      <c r="CC68" s="354"/>
      <c r="CD68" s="354"/>
      <c r="CE68" s="354"/>
      <c r="CF68" s="354"/>
      <c r="CG68" s="354"/>
      <c r="CH68" s="369"/>
      <c r="CI68" s="354"/>
      <c r="CJ68" s="354"/>
      <c r="CK68" s="354"/>
      <c r="CL68" s="354"/>
      <c r="CM68" s="354"/>
      <c r="CN68" s="354"/>
      <c r="CO68" s="354"/>
      <c r="CP68" s="373" t="s">
        <v>544</v>
      </c>
      <c r="CQ68" s="372" t="s">
        <v>367</v>
      </c>
      <c r="CR68" s="379"/>
      <c r="CS68" s="379"/>
      <c r="CT68" s="379"/>
    </row>
    <row r="69" spans="1:98" s="486" customFormat="1" ht="30" customHeight="1">
      <c r="A69" s="378" t="s">
        <v>276</v>
      </c>
      <c r="B69" s="351" t="s">
        <v>366</v>
      </c>
      <c r="C69" s="351"/>
      <c r="D69" s="373"/>
      <c r="E69" s="373" t="s">
        <v>39</v>
      </c>
      <c r="F69" s="373"/>
      <c r="G69" s="373"/>
      <c r="H69" s="373"/>
      <c r="I69" s="373" t="s">
        <v>38</v>
      </c>
      <c r="J69" s="450"/>
      <c r="K69" s="450"/>
      <c r="L69" s="354"/>
      <c r="M69" s="354"/>
      <c r="N69" s="356">
        <f t="shared" si="97"/>
        <v>133</v>
      </c>
      <c r="O69" s="356">
        <f t="shared" si="98"/>
        <v>89</v>
      </c>
      <c r="P69" s="356">
        <f t="shared" si="101"/>
        <v>89</v>
      </c>
      <c r="Q69" s="356">
        <f t="shared" si="101"/>
        <v>0</v>
      </c>
      <c r="R69" s="356">
        <f t="shared" si="101"/>
        <v>0</v>
      </c>
      <c r="S69" s="356">
        <f t="shared" si="101"/>
        <v>0</v>
      </c>
      <c r="T69" s="356">
        <f t="shared" si="102"/>
        <v>0</v>
      </c>
      <c r="U69" s="356">
        <f t="shared" si="102"/>
        <v>44</v>
      </c>
      <c r="V69" s="357">
        <f>SUM(W69:AB69)</f>
        <v>0</v>
      </c>
      <c r="W69" s="354"/>
      <c r="X69" s="354"/>
      <c r="Y69" s="354"/>
      <c r="Z69" s="354"/>
      <c r="AA69" s="354"/>
      <c r="AB69" s="354"/>
      <c r="AC69" s="357">
        <f>SUM(AD69:AI69)</f>
        <v>0</v>
      </c>
      <c r="AD69" s="354"/>
      <c r="AE69" s="354"/>
      <c r="AF69" s="354"/>
      <c r="AG69" s="354"/>
      <c r="AH69" s="354"/>
      <c r="AI69" s="354"/>
      <c r="AJ69" s="357">
        <f>SUM(AK69:AP69)</f>
        <v>0</v>
      </c>
      <c r="AK69" s="354"/>
      <c r="AL69" s="354"/>
      <c r="AM69" s="354"/>
      <c r="AN69" s="354"/>
      <c r="AO69" s="354"/>
      <c r="AP69" s="354"/>
      <c r="AQ69" s="357">
        <f>SUM(AR69:AW69)</f>
        <v>57</v>
      </c>
      <c r="AR69" s="354">
        <v>38</v>
      </c>
      <c r="AS69" s="354"/>
      <c r="AT69" s="354"/>
      <c r="AU69" s="354"/>
      <c r="AV69" s="354"/>
      <c r="AW69" s="354">
        <v>19</v>
      </c>
      <c r="AX69" s="357">
        <f>SUM(AY69:BD69)</f>
        <v>76</v>
      </c>
      <c r="AY69" s="354">
        <v>51</v>
      </c>
      <c r="AZ69" s="354"/>
      <c r="BA69" s="354"/>
      <c r="BB69" s="354"/>
      <c r="BC69" s="354"/>
      <c r="BD69" s="354">
        <v>25</v>
      </c>
      <c r="BE69" s="357">
        <f t="shared" si="100"/>
        <v>0</v>
      </c>
      <c r="BF69" s="354"/>
      <c r="BG69" s="354"/>
      <c r="BH69" s="354"/>
      <c r="BI69" s="354"/>
      <c r="BJ69" s="354"/>
      <c r="BK69" s="354"/>
      <c r="BL69" s="357">
        <f>SUM(BM69:BR69)</f>
        <v>0</v>
      </c>
      <c r="BM69" s="354"/>
      <c r="BN69" s="354"/>
      <c r="BO69" s="354"/>
      <c r="BP69" s="354"/>
      <c r="BQ69" s="354"/>
      <c r="BR69" s="354"/>
      <c r="BS69" s="357">
        <f>SUM(BT69:BY69)</f>
        <v>0</v>
      </c>
      <c r="BT69" s="354"/>
      <c r="BU69" s="354"/>
      <c r="BV69" s="354"/>
      <c r="BW69" s="354"/>
      <c r="BX69" s="354"/>
      <c r="BY69" s="354"/>
      <c r="BZ69" s="369"/>
      <c r="CA69" s="354"/>
      <c r="CB69" s="354"/>
      <c r="CC69" s="354"/>
      <c r="CD69" s="354"/>
      <c r="CE69" s="354"/>
      <c r="CF69" s="354"/>
      <c r="CG69" s="354"/>
      <c r="CH69" s="369"/>
      <c r="CI69" s="354"/>
      <c r="CJ69" s="354"/>
      <c r="CK69" s="354"/>
      <c r="CL69" s="354"/>
      <c r="CM69" s="354"/>
      <c r="CN69" s="354"/>
      <c r="CO69" s="354"/>
      <c r="CP69" s="373" t="s">
        <v>544</v>
      </c>
      <c r="CQ69" s="372" t="s">
        <v>367</v>
      </c>
      <c r="CR69" s="379"/>
      <c r="CS69" s="379"/>
      <c r="CT69" s="379"/>
    </row>
    <row r="70" spans="1:96" s="368" customFormat="1" ht="33" customHeight="1">
      <c r="A70" s="378" t="s">
        <v>397</v>
      </c>
      <c r="B70" s="351" t="s">
        <v>565</v>
      </c>
      <c r="C70" s="351"/>
      <c r="D70" s="373" t="s">
        <v>40</v>
      </c>
      <c r="E70" s="373"/>
      <c r="F70" s="373"/>
      <c r="G70" s="373"/>
      <c r="H70" s="373" t="s">
        <v>40</v>
      </c>
      <c r="I70" s="373" t="s">
        <v>39</v>
      </c>
      <c r="J70" s="450"/>
      <c r="K70" s="450"/>
      <c r="L70" s="358"/>
      <c r="M70" s="358"/>
      <c r="N70" s="356">
        <f t="shared" si="97"/>
        <v>148</v>
      </c>
      <c r="O70" s="356">
        <f t="shared" si="98"/>
        <v>99</v>
      </c>
      <c r="P70" s="356">
        <f t="shared" si="101"/>
        <v>79</v>
      </c>
      <c r="Q70" s="356">
        <f t="shared" si="101"/>
        <v>0</v>
      </c>
      <c r="R70" s="356">
        <f t="shared" si="101"/>
        <v>20</v>
      </c>
      <c r="S70" s="356">
        <f t="shared" si="101"/>
        <v>0</v>
      </c>
      <c r="T70" s="356">
        <f t="shared" si="102"/>
        <v>0</v>
      </c>
      <c r="U70" s="356">
        <f t="shared" si="102"/>
        <v>49</v>
      </c>
      <c r="V70" s="357">
        <f>SUM(W70:AB70)</f>
        <v>0</v>
      </c>
      <c r="W70" s="358"/>
      <c r="X70" s="358"/>
      <c r="Y70" s="358"/>
      <c r="Z70" s="358"/>
      <c r="AA70" s="358"/>
      <c r="AB70" s="358"/>
      <c r="AC70" s="357">
        <f>SUM(AD70:AI70)</f>
        <v>0</v>
      </c>
      <c r="AD70" s="358"/>
      <c r="AE70" s="358"/>
      <c r="AF70" s="358"/>
      <c r="AG70" s="358"/>
      <c r="AH70" s="358"/>
      <c r="AI70" s="358"/>
      <c r="AJ70" s="357">
        <f>SUM(AK70:AP70)</f>
        <v>0</v>
      </c>
      <c r="AK70" s="354"/>
      <c r="AL70" s="354"/>
      <c r="AM70" s="354"/>
      <c r="AN70" s="354"/>
      <c r="AO70" s="354"/>
      <c r="AP70" s="354"/>
      <c r="AQ70" s="357">
        <f>SUM(AR70:AW70)</f>
        <v>0</v>
      </c>
      <c r="AR70" s="354"/>
      <c r="AS70" s="354"/>
      <c r="AT70" s="354"/>
      <c r="AU70" s="354"/>
      <c r="AV70" s="354"/>
      <c r="AW70" s="354"/>
      <c r="AX70" s="357">
        <f>SUM(AY70:BD70)</f>
        <v>76</v>
      </c>
      <c r="AY70" s="358">
        <v>51</v>
      </c>
      <c r="AZ70" s="358"/>
      <c r="BA70" s="358"/>
      <c r="BB70" s="358"/>
      <c r="BC70" s="358"/>
      <c r="BD70" s="358">
        <v>25</v>
      </c>
      <c r="BE70" s="357">
        <f t="shared" si="100"/>
        <v>72</v>
      </c>
      <c r="BF70" s="354">
        <v>28</v>
      </c>
      <c r="BG70" s="354"/>
      <c r="BH70" s="354">
        <v>20</v>
      </c>
      <c r="BI70" s="354"/>
      <c r="BJ70" s="354"/>
      <c r="BK70" s="358">
        <v>24</v>
      </c>
      <c r="BL70" s="357">
        <f>SUM(BM70:BR70)</f>
        <v>0</v>
      </c>
      <c r="BM70" s="358"/>
      <c r="BN70" s="358"/>
      <c r="BO70" s="358"/>
      <c r="BP70" s="358"/>
      <c r="BQ70" s="358"/>
      <c r="BR70" s="358"/>
      <c r="BS70" s="357">
        <f>SUM(BT70:BY70)</f>
        <v>0</v>
      </c>
      <c r="BT70" s="358"/>
      <c r="BU70" s="358"/>
      <c r="BV70" s="358"/>
      <c r="BW70" s="358"/>
      <c r="BX70" s="358"/>
      <c r="BY70" s="358"/>
      <c r="BZ70" s="357">
        <f>SUM(CA70:CG70)</f>
        <v>0</v>
      </c>
      <c r="CA70" s="358"/>
      <c r="CB70" s="358"/>
      <c r="CC70" s="358"/>
      <c r="CD70" s="358"/>
      <c r="CE70" s="358"/>
      <c r="CF70" s="358"/>
      <c r="CG70" s="358"/>
      <c r="CH70" s="357"/>
      <c r="CI70" s="358"/>
      <c r="CJ70" s="358"/>
      <c r="CK70" s="358"/>
      <c r="CL70" s="358"/>
      <c r="CM70" s="358"/>
      <c r="CN70" s="358"/>
      <c r="CO70" s="358"/>
      <c r="CP70" s="373" t="s">
        <v>409</v>
      </c>
      <c r="CQ70" s="372" t="s">
        <v>472</v>
      </c>
      <c r="CR70" s="379"/>
    </row>
    <row r="71" spans="1:98" s="487" customFormat="1" ht="25.5" customHeight="1">
      <c r="A71" s="378" t="s">
        <v>277</v>
      </c>
      <c r="B71" s="351" t="s">
        <v>560</v>
      </c>
      <c r="C71" s="351"/>
      <c r="D71" s="373" t="s">
        <v>38</v>
      </c>
      <c r="E71" s="373"/>
      <c r="F71" s="373"/>
      <c r="G71" s="373"/>
      <c r="H71" s="373"/>
      <c r="I71" s="373" t="s">
        <v>28</v>
      </c>
      <c r="J71" s="450"/>
      <c r="K71" s="450"/>
      <c r="L71" s="358"/>
      <c r="M71" s="358"/>
      <c r="N71" s="356">
        <f t="shared" si="97"/>
        <v>105</v>
      </c>
      <c r="O71" s="356">
        <f t="shared" si="98"/>
        <v>70</v>
      </c>
      <c r="P71" s="356">
        <f t="shared" si="101"/>
        <v>70</v>
      </c>
      <c r="Q71" s="356">
        <f t="shared" si="101"/>
        <v>0</v>
      </c>
      <c r="R71" s="356">
        <f t="shared" si="101"/>
        <v>0</v>
      </c>
      <c r="S71" s="356">
        <f t="shared" si="101"/>
        <v>0</v>
      </c>
      <c r="T71" s="356">
        <f t="shared" si="102"/>
        <v>0</v>
      </c>
      <c r="U71" s="356">
        <f t="shared" si="102"/>
        <v>35</v>
      </c>
      <c r="V71" s="357">
        <f>SUM(W71:AB71)</f>
        <v>0</v>
      </c>
      <c r="W71" s="358"/>
      <c r="X71" s="358"/>
      <c r="Y71" s="358"/>
      <c r="Z71" s="358"/>
      <c r="AA71" s="358"/>
      <c r="AB71" s="358"/>
      <c r="AC71" s="357">
        <f>SUM(AD71:AI71)</f>
        <v>0</v>
      </c>
      <c r="AD71" s="358"/>
      <c r="AE71" s="358"/>
      <c r="AF71" s="358"/>
      <c r="AG71" s="358"/>
      <c r="AH71" s="358"/>
      <c r="AI71" s="358"/>
      <c r="AJ71" s="357">
        <f>SUM(AK71:AP71)</f>
        <v>48</v>
      </c>
      <c r="AK71" s="354">
        <v>32</v>
      </c>
      <c r="AL71" s="354"/>
      <c r="AM71" s="354"/>
      <c r="AN71" s="354"/>
      <c r="AO71" s="354"/>
      <c r="AP71" s="354">
        <v>16</v>
      </c>
      <c r="AQ71" s="357">
        <f>SUM(AR71:AW71)</f>
        <v>57</v>
      </c>
      <c r="AR71" s="354">
        <v>38</v>
      </c>
      <c r="AS71" s="354"/>
      <c r="AT71" s="354"/>
      <c r="AU71" s="354"/>
      <c r="AV71" s="354"/>
      <c r="AW71" s="354">
        <v>19</v>
      </c>
      <c r="AX71" s="357">
        <f>SUM(AY71:BD71)</f>
        <v>0</v>
      </c>
      <c r="AY71" s="358"/>
      <c r="AZ71" s="358"/>
      <c r="BA71" s="358"/>
      <c r="BB71" s="358"/>
      <c r="BC71" s="358"/>
      <c r="BD71" s="358"/>
      <c r="BE71" s="357">
        <f t="shared" si="100"/>
        <v>0</v>
      </c>
      <c r="BF71" s="358"/>
      <c r="BG71" s="358"/>
      <c r="BH71" s="358"/>
      <c r="BI71" s="358"/>
      <c r="BJ71" s="358"/>
      <c r="BK71" s="358"/>
      <c r="BL71" s="357">
        <f>SUM(BM71:BR71)</f>
        <v>0</v>
      </c>
      <c r="BM71" s="358"/>
      <c r="BN71" s="358"/>
      <c r="BO71" s="358"/>
      <c r="BP71" s="358"/>
      <c r="BQ71" s="358"/>
      <c r="BR71" s="358"/>
      <c r="BS71" s="357">
        <f>SUM(BT71:BY71)</f>
        <v>0</v>
      </c>
      <c r="BT71" s="358"/>
      <c r="BU71" s="358"/>
      <c r="BV71" s="358"/>
      <c r="BW71" s="358"/>
      <c r="BX71" s="358"/>
      <c r="BY71" s="358"/>
      <c r="BZ71" s="357"/>
      <c r="CA71" s="358"/>
      <c r="CB71" s="358"/>
      <c r="CC71" s="358"/>
      <c r="CD71" s="358"/>
      <c r="CE71" s="358"/>
      <c r="CF71" s="358"/>
      <c r="CG71" s="358"/>
      <c r="CH71" s="357"/>
      <c r="CI71" s="358"/>
      <c r="CJ71" s="358"/>
      <c r="CK71" s="358"/>
      <c r="CL71" s="358"/>
      <c r="CM71" s="358"/>
      <c r="CN71" s="358"/>
      <c r="CO71" s="358"/>
      <c r="CP71" s="373" t="s">
        <v>411</v>
      </c>
      <c r="CQ71" s="372" t="s">
        <v>561</v>
      </c>
      <c r="CR71" s="379"/>
      <c r="CS71" s="368"/>
      <c r="CT71" s="368"/>
    </row>
    <row r="72" spans="1:96" s="380" customFormat="1" ht="36.75" customHeight="1">
      <c r="A72" s="488" t="s">
        <v>142</v>
      </c>
      <c r="B72" s="591" t="s">
        <v>4</v>
      </c>
      <c r="C72" s="591"/>
      <c r="D72" s="371"/>
      <c r="E72" s="371" t="s">
        <v>38</v>
      </c>
      <c r="F72" s="371"/>
      <c r="G72" s="371"/>
      <c r="H72" s="371"/>
      <c r="I72" s="371"/>
      <c r="J72" s="455"/>
      <c r="K72" s="455"/>
      <c r="L72" s="349"/>
      <c r="M72" s="349">
        <v>144</v>
      </c>
      <c r="N72" s="349">
        <f aca="true" t="shared" si="103" ref="N72:AL72">SUM(N73:N73)</f>
        <v>0</v>
      </c>
      <c r="O72" s="349">
        <f t="shared" si="103"/>
        <v>144</v>
      </c>
      <c r="P72" s="349">
        <f t="shared" si="103"/>
        <v>0</v>
      </c>
      <c r="Q72" s="349">
        <f t="shared" si="103"/>
        <v>0</v>
      </c>
      <c r="R72" s="349">
        <f t="shared" si="103"/>
        <v>0</v>
      </c>
      <c r="S72" s="349"/>
      <c r="T72" s="349">
        <f t="shared" si="103"/>
        <v>144</v>
      </c>
      <c r="U72" s="349">
        <f t="shared" si="103"/>
        <v>0</v>
      </c>
      <c r="V72" s="349">
        <f t="shared" si="103"/>
        <v>0</v>
      </c>
      <c r="W72" s="349">
        <f t="shared" si="103"/>
        <v>0</v>
      </c>
      <c r="X72" s="349">
        <f t="shared" si="103"/>
        <v>0</v>
      </c>
      <c r="Y72" s="349">
        <f t="shared" si="103"/>
        <v>0</v>
      </c>
      <c r="Z72" s="349"/>
      <c r="AA72" s="349">
        <f t="shared" si="103"/>
        <v>0</v>
      </c>
      <c r="AB72" s="349">
        <f t="shared" si="103"/>
        <v>0</v>
      </c>
      <c r="AC72" s="349">
        <f t="shared" si="103"/>
        <v>0</v>
      </c>
      <c r="AD72" s="349">
        <f t="shared" si="103"/>
        <v>0</v>
      </c>
      <c r="AE72" s="349">
        <f t="shared" si="103"/>
        <v>0</v>
      </c>
      <c r="AF72" s="349">
        <f t="shared" si="103"/>
        <v>0</v>
      </c>
      <c r="AG72" s="349"/>
      <c r="AH72" s="349">
        <f t="shared" si="103"/>
        <v>0</v>
      </c>
      <c r="AI72" s="349">
        <f t="shared" si="103"/>
        <v>0</v>
      </c>
      <c r="AJ72" s="349">
        <f t="shared" si="103"/>
        <v>0</v>
      </c>
      <c r="AK72" s="349">
        <f t="shared" si="103"/>
        <v>0</v>
      </c>
      <c r="AL72" s="349">
        <f t="shared" si="103"/>
        <v>0</v>
      </c>
      <c r="AM72" s="349">
        <f aca="true" t="shared" si="104" ref="AM72:BK72">SUM(AM73:AM73)</f>
        <v>0</v>
      </c>
      <c r="AN72" s="349"/>
      <c r="AO72" s="349">
        <f t="shared" si="104"/>
        <v>0</v>
      </c>
      <c r="AP72" s="349">
        <f t="shared" si="104"/>
        <v>0</v>
      </c>
      <c r="AQ72" s="349">
        <f t="shared" si="104"/>
        <v>144</v>
      </c>
      <c r="AR72" s="349">
        <f t="shared" si="104"/>
        <v>0</v>
      </c>
      <c r="AS72" s="349">
        <f t="shared" si="104"/>
        <v>0</v>
      </c>
      <c r="AT72" s="349">
        <f t="shared" si="104"/>
        <v>0</v>
      </c>
      <c r="AU72" s="349"/>
      <c r="AV72" s="349">
        <f t="shared" si="104"/>
        <v>144</v>
      </c>
      <c r="AW72" s="349">
        <f t="shared" si="104"/>
        <v>0</v>
      </c>
      <c r="AX72" s="349">
        <f t="shared" si="104"/>
        <v>0</v>
      </c>
      <c r="AY72" s="349">
        <f t="shared" si="104"/>
        <v>0</v>
      </c>
      <c r="AZ72" s="349">
        <f t="shared" si="104"/>
        <v>0</v>
      </c>
      <c r="BA72" s="349">
        <f t="shared" si="104"/>
        <v>0</v>
      </c>
      <c r="BB72" s="349"/>
      <c r="BC72" s="349">
        <f t="shared" si="104"/>
        <v>0</v>
      </c>
      <c r="BD72" s="349">
        <f t="shared" si="104"/>
        <v>0</v>
      </c>
      <c r="BE72" s="349">
        <f t="shared" si="104"/>
        <v>0</v>
      </c>
      <c r="BF72" s="349">
        <f t="shared" si="104"/>
        <v>0</v>
      </c>
      <c r="BG72" s="349">
        <f t="shared" si="104"/>
        <v>0</v>
      </c>
      <c r="BH72" s="349">
        <f t="shared" si="104"/>
        <v>0</v>
      </c>
      <c r="BI72" s="349"/>
      <c r="BJ72" s="349">
        <f t="shared" si="104"/>
        <v>0</v>
      </c>
      <c r="BK72" s="349">
        <f t="shared" si="104"/>
        <v>0</v>
      </c>
      <c r="BL72" s="349">
        <f aca="true" t="shared" si="105" ref="BL72:CL72">SUM(BL73:BL73)</f>
        <v>0</v>
      </c>
      <c r="BM72" s="349">
        <f t="shared" si="105"/>
        <v>0</v>
      </c>
      <c r="BN72" s="349">
        <f t="shared" si="105"/>
        <v>0</v>
      </c>
      <c r="BO72" s="349">
        <f t="shared" si="105"/>
        <v>0</v>
      </c>
      <c r="BP72" s="349"/>
      <c r="BQ72" s="349">
        <f t="shared" si="105"/>
        <v>0</v>
      </c>
      <c r="BR72" s="349">
        <f t="shared" si="105"/>
        <v>0</v>
      </c>
      <c r="BS72" s="349">
        <f t="shared" si="105"/>
        <v>0</v>
      </c>
      <c r="BT72" s="349">
        <f t="shared" si="105"/>
        <v>0</v>
      </c>
      <c r="BU72" s="349">
        <f t="shared" si="105"/>
        <v>0</v>
      </c>
      <c r="BV72" s="349">
        <f t="shared" si="105"/>
        <v>0</v>
      </c>
      <c r="BW72" s="349"/>
      <c r="BX72" s="349">
        <f t="shared" si="105"/>
        <v>0</v>
      </c>
      <c r="BY72" s="349">
        <f t="shared" si="105"/>
        <v>0</v>
      </c>
      <c r="BZ72" s="349">
        <f t="shared" si="105"/>
        <v>0</v>
      </c>
      <c r="CA72" s="349"/>
      <c r="CB72" s="349">
        <f t="shared" si="105"/>
        <v>0</v>
      </c>
      <c r="CC72" s="349">
        <f t="shared" si="105"/>
        <v>0</v>
      </c>
      <c r="CD72" s="349">
        <f t="shared" si="105"/>
        <v>0</v>
      </c>
      <c r="CE72" s="349">
        <f t="shared" si="105"/>
        <v>0</v>
      </c>
      <c r="CF72" s="349">
        <f t="shared" si="105"/>
        <v>0</v>
      </c>
      <c r="CG72" s="349">
        <f t="shared" si="105"/>
        <v>0</v>
      </c>
      <c r="CH72" s="349">
        <f t="shared" si="105"/>
        <v>0</v>
      </c>
      <c r="CI72" s="349">
        <f t="shared" si="105"/>
        <v>0</v>
      </c>
      <c r="CJ72" s="349">
        <f t="shared" si="105"/>
        <v>0</v>
      </c>
      <c r="CK72" s="349">
        <f t="shared" si="105"/>
        <v>0</v>
      </c>
      <c r="CL72" s="349">
        <f t="shared" si="105"/>
        <v>0</v>
      </c>
      <c r="CM72" s="349">
        <f>SUM(CM73:CM73)</f>
        <v>0</v>
      </c>
      <c r="CN72" s="349">
        <f>SUM(CN73:CN73)</f>
        <v>0</v>
      </c>
      <c r="CO72" s="349">
        <f>SUM(CO73:CO73)</f>
        <v>0</v>
      </c>
      <c r="CP72" s="371"/>
      <c r="CQ72" s="469" t="s">
        <v>361</v>
      </c>
      <c r="CR72" s="428"/>
    </row>
    <row r="73" spans="1:96" s="368" customFormat="1" ht="31.5" customHeight="1" hidden="1">
      <c r="A73" s="384" t="s">
        <v>143</v>
      </c>
      <c r="B73" s="385" t="s">
        <v>4</v>
      </c>
      <c r="C73" s="385"/>
      <c r="D73" s="353"/>
      <c r="E73" s="353"/>
      <c r="F73" s="353"/>
      <c r="G73" s="353"/>
      <c r="H73" s="353"/>
      <c r="I73" s="353"/>
      <c r="J73" s="450"/>
      <c r="K73" s="450"/>
      <c r="L73" s="358"/>
      <c r="M73" s="358"/>
      <c r="N73" s="356"/>
      <c r="O73" s="356">
        <f>SUM(P73:T73)</f>
        <v>144</v>
      </c>
      <c r="P73" s="356">
        <f>W73+AD73+AK73+AR73+AY73+BF73+BM73+BT73+CB73+CJ73</f>
        <v>0</v>
      </c>
      <c r="Q73" s="356">
        <f>X73+AE73+AL73+AS73+AZ73+BG73+BN73+BU73+CC73+CK73</f>
        <v>0</v>
      </c>
      <c r="R73" s="356">
        <f>Y73+AF73+AM73+AT73+BA73+BH73+BO73+BV73+CD73+CL73</f>
        <v>0</v>
      </c>
      <c r="S73" s="356"/>
      <c r="T73" s="356">
        <f>AA73+AH73+AO73+AV73+BC73+BJ73+BQ73+BX73+CE73+CM73</f>
        <v>144</v>
      </c>
      <c r="U73" s="356">
        <f>AB73+AI73+AP73+AW73+BD73+BK73+BR73+BY73+CG73+CO73</f>
        <v>0</v>
      </c>
      <c r="V73" s="357">
        <f>SUM(W73:AB73)</f>
        <v>0</v>
      </c>
      <c r="W73" s="358"/>
      <c r="X73" s="358"/>
      <c r="Y73" s="358"/>
      <c r="Z73" s="358"/>
      <c r="AA73" s="358"/>
      <c r="AB73" s="358"/>
      <c r="AC73" s="357">
        <f>SUM(AD73:AI73)</f>
        <v>0</v>
      </c>
      <c r="AD73" s="358"/>
      <c r="AE73" s="358"/>
      <c r="AF73" s="358"/>
      <c r="AG73" s="358"/>
      <c r="AH73" s="358"/>
      <c r="AI73" s="358"/>
      <c r="AJ73" s="357">
        <f>SUM(AK73:AP73)</f>
        <v>0</v>
      </c>
      <c r="AK73" s="358"/>
      <c r="AL73" s="358"/>
      <c r="AM73" s="358"/>
      <c r="AN73" s="358"/>
      <c r="AO73" s="358"/>
      <c r="AP73" s="358"/>
      <c r="AQ73" s="357">
        <f>SUM(AR73:AW73)</f>
        <v>144</v>
      </c>
      <c r="AR73" s="358"/>
      <c r="AS73" s="358"/>
      <c r="AT73" s="358"/>
      <c r="AU73" s="358"/>
      <c r="AV73" s="358">
        <v>144</v>
      </c>
      <c r="AW73" s="358"/>
      <c r="AX73" s="357">
        <f>SUM(AY73:BD73)</f>
        <v>0</v>
      </c>
      <c r="AY73" s="358"/>
      <c r="AZ73" s="358"/>
      <c r="BA73" s="358"/>
      <c r="BB73" s="358"/>
      <c r="BC73" s="358"/>
      <c r="BD73" s="358"/>
      <c r="BE73" s="357">
        <f>SUM(BF73:BK73)</f>
        <v>0</v>
      </c>
      <c r="BF73" s="358"/>
      <c r="BG73" s="358"/>
      <c r="BH73" s="358"/>
      <c r="BI73" s="358"/>
      <c r="BJ73" s="358"/>
      <c r="BK73" s="358"/>
      <c r="BL73" s="357">
        <f>SUM(BM73:BR73)</f>
        <v>0</v>
      </c>
      <c r="BM73" s="358"/>
      <c r="BN73" s="358"/>
      <c r="BO73" s="358"/>
      <c r="BP73" s="358"/>
      <c r="BQ73" s="358"/>
      <c r="BR73" s="358"/>
      <c r="BS73" s="357">
        <f>SUM(BT73:BY73)</f>
        <v>0</v>
      </c>
      <c r="BT73" s="358"/>
      <c r="BU73" s="358"/>
      <c r="BV73" s="358"/>
      <c r="BW73" s="358"/>
      <c r="BX73" s="358"/>
      <c r="BY73" s="358"/>
      <c r="BZ73" s="357">
        <f>SUM(CA73:CG73)</f>
        <v>0</v>
      </c>
      <c r="CA73" s="358"/>
      <c r="CB73" s="358"/>
      <c r="CC73" s="358"/>
      <c r="CD73" s="358"/>
      <c r="CE73" s="358"/>
      <c r="CF73" s="358"/>
      <c r="CG73" s="358"/>
      <c r="CH73" s="357">
        <f>SUM(CI73:CO73)</f>
        <v>0</v>
      </c>
      <c r="CI73" s="358"/>
      <c r="CJ73" s="358"/>
      <c r="CK73" s="358"/>
      <c r="CL73" s="358"/>
      <c r="CM73" s="358"/>
      <c r="CN73" s="358"/>
      <c r="CO73" s="358"/>
      <c r="CP73" s="373" t="s">
        <v>413</v>
      </c>
      <c r="CQ73" s="372" t="s">
        <v>361</v>
      </c>
      <c r="CR73" s="379"/>
    </row>
    <row r="74" spans="1:96" s="380" customFormat="1" ht="34.5" customHeight="1">
      <c r="A74" s="488" t="s">
        <v>144</v>
      </c>
      <c r="B74" s="591" t="s">
        <v>100</v>
      </c>
      <c r="C74" s="591"/>
      <c r="D74" s="371"/>
      <c r="E74" s="371"/>
      <c r="F74" s="371"/>
      <c r="G74" s="371"/>
      <c r="H74" s="371"/>
      <c r="I74" s="371"/>
      <c r="J74" s="455"/>
      <c r="K74" s="455"/>
      <c r="L74" s="349"/>
      <c r="M74" s="349">
        <v>900</v>
      </c>
      <c r="N74" s="349">
        <f aca="true" t="shared" si="106" ref="N74:AL74">SUM(N75:N76)</f>
        <v>0</v>
      </c>
      <c r="O74" s="349">
        <f t="shared" si="106"/>
        <v>900</v>
      </c>
      <c r="P74" s="349">
        <f t="shared" si="106"/>
        <v>0</v>
      </c>
      <c r="Q74" s="349">
        <f t="shared" si="106"/>
        <v>0</v>
      </c>
      <c r="R74" s="349">
        <f t="shared" si="106"/>
        <v>0</v>
      </c>
      <c r="S74" s="349"/>
      <c r="T74" s="349">
        <f t="shared" si="106"/>
        <v>900</v>
      </c>
      <c r="U74" s="349">
        <f t="shared" si="106"/>
        <v>0</v>
      </c>
      <c r="V74" s="349">
        <f t="shared" si="106"/>
        <v>0</v>
      </c>
      <c r="W74" s="349">
        <f t="shared" si="106"/>
        <v>0</v>
      </c>
      <c r="X74" s="349">
        <f t="shared" si="106"/>
        <v>0</v>
      </c>
      <c r="Y74" s="349">
        <f t="shared" si="106"/>
        <v>0</v>
      </c>
      <c r="Z74" s="349"/>
      <c r="AA74" s="349">
        <f t="shared" si="106"/>
        <v>0</v>
      </c>
      <c r="AB74" s="349">
        <f t="shared" si="106"/>
        <v>0</v>
      </c>
      <c r="AC74" s="349">
        <f t="shared" si="106"/>
        <v>0</v>
      </c>
      <c r="AD74" s="349">
        <f t="shared" si="106"/>
        <v>0</v>
      </c>
      <c r="AE74" s="349">
        <f t="shared" si="106"/>
        <v>0</v>
      </c>
      <c r="AF74" s="349">
        <f t="shared" si="106"/>
        <v>0</v>
      </c>
      <c r="AG74" s="349"/>
      <c r="AH74" s="349">
        <f t="shared" si="106"/>
        <v>0</v>
      </c>
      <c r="AI74" s="349">
        <f t="shared" si="106"/>
        <v>0</v>
      </c>
      <c r="AJ74" s="349">
        <f t="shared" si="106"/>
        <v>0</v>
      </c>
      <c r="AK74" s="349">
        <f t="shared" si="106"/>
        <v>0</v>
      </c>
      <c r="AL74" s="349">
        <f t="shared" si="106"/>
        <v>0</v>
      </c>
      <c r="AM74" s="349">
        <f aca="true" t="shared" si="107" ref="AM74:BK74">SUM(AM75:AM76)</f>
        <v>0</v>
      </c>
      <c r="AN74" s="349"/>
      <c r="AO74" s="349">
        <f t="shared" si="107"/>
        <v>0</v>
      </c>
      <c r="AP74" s="349">
        <f t="shared" si="107"/>
        <v>0</v>
      </c>
      <c r="AQ74" s="349">
        <f t="shared" si="107"/>
        <v>0</v>
      </c>
      <c r="AR74" s="349">
        <f t="shared" si="107"/>
        <v>0</v>
      </c>
      <c r="AS74" s="349">
        <f t="shared" si="107"/>
        <v>0</v>
      </c>
      <c r="AT74" s="349">
        <f t="shared" si="107"/>
        <v>0</v>
      </c>
      <c r="AU74" s="349"/>
      <c r="AV74" s="349">
        <f>SUM(AV75:AV76)</f>
        <v>0</v>
      </c>
      <c r="AW74" s="349">
        <f t="shared" si="107"/>
        <v>0</v>
      </c>
      <c r="AX74" s="349">
        <f t="shared" si="107"/>
        <v>0</v>
      </c>
      <c r="AY74" s="349">
        <f t="shared" si="107"/>
        <v>0</v>
      </c>
      <c r="AZ74" s="349">
        <f t="shared" si="107"/>
        <v>0</v>
      </c>
      <c r="BA74" s="349">
        <f t="shared" si="107"/>
        <v>0</v>
      </c>
      <c r="BB74" s="349"/>
      <c r="BC74" s="349">
        <f t="shared" si="107"/>
        <v>0</v>
      </c>
      <c r="BD74" s="349">
        <f t="shared" si="107"/>
        <v>0</v>
      </c>
      <c r="BE74" s="349">
        <f t="shared" si="107"/>
        <v>432</v>
      </c>
      <c r="BF74" s="349">
        <f t="shared" si="107"/>
        <v>0</v>
      </c>
      <c r="BG74" s="349">
        <f t="shared" si="107"/>
        <v>0</v>
      </c>
      <c r="BH74" s="349">
        <f t="shared" si="107"/>
        <v>0</v>
      </c>
      <c r="BI74" s="349"/>
      <c r="BJ74" s="349">
        <f t="shared" si="107"/>
        <v>432</v>
      </c>
      <c r="BK74" s="349">
        <f t="shared" si="107"/>
        <v>0</v>
      </c>
      <c r="BL74" s="349">
        <f aca="true" t="shared" si="108" ref="BL74:CL74">SUM(BL75:BL76)</f>
        <v>324</v>
      </c>
      <c r="BM74" s="349">
        <f t="shared" si="108"/>
        <v>0</v>
      </c>
      <c r="BN74" s="349">
        <f t="shared" si="108"/>
        <v>0</v>
      </c>
      <c r="BO74" s="349">
        <f t="shared" si="108"/>
        <v>0</v>
      </c>
      <c r="BP74" s="349"/>
      <c r="BQ74" s="349">
        <f t="shared" si="108"/>
        <v>324</v>
      </c>
      <c r="BR74" s="349">
        <f t="shared" si="108"/>
        <v>0</v>
      </c>
      <c r="BS74" s="349">
        <f t="shared" si="108"/>
        <v>144</v>
      </c>
      <c r="BT74" s="349">
        <f t="shared" si="108"/>
        <v>0</v>
      </c>
      <c r="BU74" s="349">
        <f t="shared" si="108"/>
        <v>0</v>
      </c>
      <c r="BV74" s="349">
        <f t="shared" si="108"/>
        <v>0</v>
      </c>
      <c r="BW74" s="349"/>
      <c r="BX74" s="349">
        <f t="shared" si="108"/>
        <v>144</v>
      </c>
      <c r="BY74" s="349">
        <f t="shared" si="108"/>
        <v>0</v>
      </c>
      <c r="BZ74" s="349">
        <f t="shared" si="108"/>
        <v>0</v>
      </c>
      <c r="CA74" s="349"/>
      <c r="CB74" s="349">
        <f t="shared" si="108"/>
        <v>0</v>
      </c>
      <c r="CC74" s="349">
        <f t="shared" si="108"/>
        <v>0</v>
      </c>
      <c r="CD74" s="349">
        <f t="shared" si="108"/>
        <v>0</v>
      </c>
      <c r="CE74" s="349">
        <f t="shared" si="108"/>
        <v>0</v>
      </c>
      <c r="CF74" s="349">
        <f t="shared" si="108"/>
        <v>0</v>
      </c>
      <c r="CG74" s="349">
        <f t="shared" si="108"/>
        <v>0</v>
      </c>
      <c r="CH74" s="349">
        <f t="shared" si="108"/>
        <v>0</v>
      </c>
      <c r="CI74" s="349">
        <f t="shared" si="108"/>
        <v>0</v>
      </c>
      <c r="CJ74" s="349">
        <f t="shared" si="108"/>
        <v>0</v>
      </c>
      <c r="CK74" s="349">
        <f t="shared" si="108"/>
        <v>0</v>
      </c>
      <c r="CL74" s="349">
        <f t="shared" si="108"/>
        <v>0</v>
      </c>
      <c r="CM74" s="349">
        <f>SUM(CM75:CM76)</f>
        <v>0</v>
      </c>
      <c r="CN74" s="349">
        <f>SUM(CN75:CN76)</f>
        <v>0</v>
      </c>
      <c r="CO74" s="349">
        <f>SUM(CO75:CO76)</f>
        <v>0</v>
      </c>
      <c r="CP74" s="371"/>
      <c r="CQ74" s="469" t="s">
        <v>339</v>
      </c>
      <c r="CR74" s="428"/>
    </row>
    <row r="75" spans="1:96" s="368" customFormat="1" ht="30.75">
      <c r="A75" s="347" t="s">
        <v>145</v>
      </c>
      <c r="B75" s="352" t="s">
        <v>552</v>
      </c>
      <c r="C75" s="352"/>
      <c r="D75" s="353"/>
      <c r="E75" s="353" t="s">
        <v>41</v>
      </c>
      <c r="F75" s="353"/>
      <c r="G75" s="353"/>
      <c r="H75" s="353"/>
      <c r="I75" s="353"/>
      <c r="J75" s="450"/>
      <c r="K75" s="450"/>
      <c r="L75" s="358"/>
      <c r="M75" s="358"/>
      <c r="N75" s="356"/>
      <c r="O75" s="356">
        <f>T75</f>
        <v>756</v>
      </c>
      <c r="P75" s="356">
        <f aca="true" t="shared" si="109" ref="P75:R76">W75+AD75+AK75+AR75+AY75+BF75+BM75+BT75+CB75+CJ75</f>
        <v>0</v>
      </c>
      <c r="Q75" s="356">
        <f t="shared" si="109"/>
        <v>0</v>
      </c>
      <c r="R75" s="356">
        <f t="shared" si="109"/>
        <v>0</v>
      </c>
      <c r="S75" s="356"/>
      <c r="T75" s="356">
        <f>AA75+AH75+AO75+AV75+BC75+BJ75+BQ75+BX75+CE75+CM75</f>
        <v>756</v>
      </c>
      <c r="U75" s="356">
        <f>AB75+AI75+AP75+AW75+BD75+BK75+BR75+BY75+CG75+CO75</f>
        <v>0</v>
      </c>
      <c r="V75" s="357">
        <f>SUM(W75:AB75)</f>
        <v>0</v>
      </c>
      <c r="W75" s="358"/>
      <c r="X75" s="358"/>
      <c r="Y75" s="358"/>
      <c r="Z75" s="358"/>
      <c r="AA75" s="358"/>
      <c r="AB75" s="358"/>
      <c r="AC75" s="357">
        <f>SUM(AD75:AI75)</f>
        <v>0</v>
      </c>
      <c r="AD75" s="358"/>
      <c r="AE75" s="358"/>
      <c r="AF75" s="358"/>
      <c r="AG75" s="358"/>
      <c r="AH75" s="358"/>
      <c r="AI75" s="358"/>
      <c r="AJ75" s="357">
        <f>SUM(AK75:AP75)</f>
        <v>0</v>
      </c>
      <c r="AK75" s="358"/>
      <c r="AL75" s="358"/>
      <c r="AM75" s="358"/>
      <c r="AN75" s="358"/>
      <c r="AO75" s="358"/>
      <c r="AP75" s="358"/>
      <c r="AQ75" s="357">
        <f>SUM(AR75:AW75)</f>
        <v>0</v>
      </c>
      <c r="AR75" s="358"/>
      <c r="AS75" s="358"/>
      <c r="AT75" s="358"/>
      <c r="AU75" s="358"/>
      <c r="AV75" s="358"/>
      <c r="AW75" s="358"/>
      <c r="AX75" s="357">
        <f>SUM(AY75:BD75)</f>
        <v>0</v>
      </c>
      <c r="AY75" s="358"/>
      <c r="AZ75" s="358"/>
      <c r="BA75" s="358"/>
      <c r="BB75" s="358"/>
      <c r="BC75" s="358"/>
      <c r="BD75" s="358"/>
      <c r="BE75" s="357">
        <f>SUM(BF75:BK75)</f>
        <v>432</v>
      </c>
      <c r="BF75" s="358"/>
      <c r="BG75" s="358"/>
      <c r="BH75" s="358"/>
      <c r="BI75" s="358"/>
      <c r="BJ75" s="358">
        <v>432</v>
      </c>
      <c r="BK75" s="358"/>
      <c r="BL75" s="357">
        <f>SUM(BM75:BR75)</f>
        <v>324</v>
      </c>
      <c r="BM75" s="358"/>
      <c r="BN75" s="358"/>
      <c r="BO75" s="358"/>
      <c r="BP75" s="358"/>
      <c r="BQ75" s="358">
        <v>324</v>
      </c>
      <c r="BR75" s="358"/>
      <c r="BS75" s="357">
        <f>SUM(BT75:BY75)</f>
        <v>0</v>
      </c>
      <c r="BT75" s="358"/>
      <c r="BU75" s="358"/>
      <c r="BV75" s="358"/>
      <c r="BW75" s="358"/>
      <c r="BX75" s="358"/>
      <c r="BY75" s="358"/>
      <c r="BZ75" s="358"/>
      <c r="CA75" s="358"/>
      <c r="CB75" s="358"/>
      <c r="CC75" s="358"/>
      <c r="CD75" s="358"/>
      <c r="CE75" s="358"/>
      <c r="CF75" s="358"/>
      <c r="CG75" s="358"/>
      <c r="CH75" s="358"/>
      <c r="CI75" s="358"/>
      <c r="CJ75" s="358"/>
      <c r="CK75" s="358"/>
      <c r="CL75" s="358"/>
      <c r="CM75" s="358"/>
      <c r="CN75" s="358"/>
      <c r="CO75" s="358"/>
      <c r="CP75" s="358" t="s">
        <v>544</v>
      </c>
      <c r="CQ75" s="372" t="s">
        <v>339</v>
      </c>
      <c r="CR75" s="379"/>
    </row>
    <row r="76" spans="1:96" s="368" customFormat="1" ht="30.75">
      <c r="A76" s="347" t="s">
        <v>318</v>
      </c>
      <c r="B76" s="352" t="s">
        <v>511</v>
      </c>
      <c r="C76" s="381"/>
      <c r="D76" s="353"/>
      <c r="E76" s="353" t="s">
        <v>36</v>
      </c>
      <c r="F76" s="353"/>
      <c r="G76" s="353"/>
      <c r="H76" s="353"/>
      <c r="I76" s="353"/>
      <c r="J76" s="450"/>
      <c r="K76" s="450"/>
      <c r="L76" s="358"/>
      <c r="M76" s="358"/>
      <c r="N76" s="356"/>
      <c r="O76" s="356">
        <f>T76</f>
        <v>144</v>
      </c>
      <c r="P76" s="356">
        <f t="shared" si="109"/>
        <v>0</v>
      </c>
      <c r="Q76" s="356">
        <f t="shared" si="109"/>
        <v>0</v>
      </c>
      <c r="R76" s="356">
        <f t="shared" si="109"/>
        <v>0</v>
      </c>
      <c r="S76" s="356"/>
      <c r="T76" s="356">
        <f>AA76+AH76+AO76+AV76+BC76+BJ76+BQ76+BX76+CE76+CM76</f>
        <v>144</v>
      </c>
      <c r="U76" s="356">
        <f>AB76+AI76+AP76+AW76+BD76+BK76+BR76+BY76+CG76+CO76</f>
        <v>0</v>
      </c>
      <c r="V76" s="357">
        <f>SUM(W76:AB76)</f>
        <v>0</v>
      </c>
      <c r="W76" s="358"/>
      <c r="X76" s="358"/>
      <c r="Y76" s="358"/>
      <c r="Z76" s="358"/>
      <c r="AA76" s="358"/>
      <c r="AB76" s="358"/>
      <c r="AC76" s="357">
        <f>SUM(AD76:AI76)</f>
        <v>0</v>
      </c>
      <c r="AD76" s="358"/>
      <c r="AE76" s="358"/>
      <c r="AF76" s="358"/>
      <c r="AG76" s="358"/>
      <c r="AH76" s="358"/>
      <c r="AI76" s="358"/>
      <c r="AJ76" s="357">
        <f>SUM(AK76:AP76)</f>
        <v>0</v>
      </c>
      <c r="AK76" s="358"/>
      <c r="AL76" s="358"/>
      <c r="AM76" s="358"/>
      <c r="AN76" s="358"/>
      <c r="AO76" s="358"/>
      <c r="AP76" s="358"/>
      <c r="AQ76" s="357">
        <f>SUM(AR76:AW76)</f>
        <v>0</v>
      </c>
      <c r="AR76" s="358"/>
      <c r="AS76" s="358"/>
      <c r="AT76" s="358"/>
      <c r="AU76" s="358"/>
      <c r="AV76" s="358"/>
      <c r="AW76" s="358"/>
      <c r="AX76" s="357">
        <f>SUM(AY76:BD76)</f>
        <v>0</v>
      </c>
      <c r="AY76" s="358"/>
      <c r="AZ76" s="358"/>
      <c r="BA76" s="358"/>
      <c r="BB76" s="358"/>
      <c r="BC76" s="358"/>
      <c r="BD76" s="358"/>
      <c r="BE76" s="357">
        <f>SUM(BF76:BK76)</f>
        <v>0</v>
      </c>
      <c r="BF76" s="358"/>
      <c r="BG76" s="358"/>
      <c r="BH76" s="358"/>
      <c r="BI76" s="358"/>
      <c r="BJ76" s="358"/>
      <c r="BK76" s="358"/>
      <c r="BL76" s="357">
        <f>SUM(BM76:BR76)</f>
        <v>0</v>
      </c>
      <c r="BM76" s="358"/>
      <c r="BN76" s="358"/>
      <c r="BO76" s="358"/>
      <c r="BP76" s="358"/>
      <c r="BQ76" s="358"/>
      <c r="BR76" s="358"/>
      <c r="BS76" s="357">
        <f>SUM(BT76:BY76)</f>
        <v>144</v>
      </c>
      <c r="BT76" s="358"/>
      <c r="BU76" s="358"/>
      <c r="BV76" s="358"/>
      <c r="BW76" s="358"/>
      <c r="BX76" s="358">
        <v>144</v>
      </c>
      <c r="BY76" s="358"/>
      <c r="BZ76" s="357">
        <f>SUM(CA76:CG76)</f>
        <v>0</v>
      </c>
      <c r="CA76" s="358"/>
      <c r="CB76" s="358"/>
      <c r="CC76" s="358"/>
      <c r="CD76" s="358"/>
      <c r="CE76" s="358"/>
      <c r="CF76" s="358"/>
      <c r="CG76" s="358"/>
      <c r="CH76" s="357">
        <f>SUM(CI76:CO76)</f>
        <v>0</v>
      </c>
      <c r="CI76" s="358"/>
      <c r="CJ76" s="358"/>
      <c r="CK76" s="358"/>
      <c r="CL76" s="358"/>
      <c r="CM76" s="358"/>
      <c r="CN76" s="358"/>
      <c r="CO76" s="358"/>
      <c r="CP76" s="358" t="s">
        <v>544</v>
      </c>
      <c r="CQ76" s="372" t="s">
        <v>339</v>
      </c>
      <c r="CR76" s="379"/>
    </row>
    <row r="77" spans="1:96" s="380" customFormat="1" ht="36.75" customHeight="1">
      <c r="A77" s="488" t="s">
        <v>146</v>
      </c>
      <c r="B77" s="575" t="s">
        <v>456</v>
      </c>
      <c r="C77" s="576"/>
      <c r="D77" s="576"/>
      <c r="E77" s="576"/>
      <c r="F77" s="576"/>
      <c r="G77" s="576"/>
      <c r="H77" s="576"/>
      <c r="I77" s="577"/>
      <c r="J77" s="449"/>
      <c r="K77" s="449"/>
      <c r="L77" s="349">
        <v>324</v>
      </c>
      <c r="M77" s="349"/>
      <c r="N77" s="349">
        <v>324</v>
      </c>
      <c r="O77" s="349"/>
      <c r="P77" s="349">
        <f>SUM(P78:P79)</f>
        <v>0</v>
      </c>
      <c r="Q77" s="349">
        <f>SUM(Q78:Q79)</f>
        <v>0</v>
      </c>
      <c r="R77" s="349">
        <f>SUM(R78:R79)</f>
        <v>0</v>
      </c>
      <c r="S77" s="349"/>
      <c r="T77" s="349">
        <f>SUM(T78:T79)</f>
        <v>0</v>
      </c>
      <c r="U77" s="349">
        <f aca="true" t="shared" si="110" ref="U77:BY77">SUM(U78:U79)</f>
        <v>0</v>
      </c>
      <c r="V77" s="349">
        <f t="shared" si="110"/>
        <v>0</v>
      </c>
      <c r="W77" s="349">
        <f t="shared" si="110"/>
        <v>0</v>
      </c>
      <c r="X77" s="349">
        <f t="shared" si="110"/>
        <v>0</v>
      </c>
      <c r="Y77" s="349">
        <f t="shared" si="110"/>
        <v>0</v>
      </c>
      <c r="Z77" s="349"/>
      <c r="AA77" s="349">
        <f t="shared" si="110"/>
        <v>0</v>
      </c>
      <c r="AB77" s="349">
        <f t="shared" si="110"/>
        <v>0</v>
      </c>
      <c r="AC77" s="349">
        <f t="shared" si="110"/>
        <v>0</v>
      </c>
      <c r="AD77" s="349">
        <f t="shared" si="110"/>
        <v>0</v>
      </c>
      <c r="AE77" s="349">
        <f t="shared" si="110"/>
        <v>0</v>
      </c>
      <c r="AF77" s="349">
        <f t="shared" si="110"/>
        <v>0</v>
      </c>
      <c r="AG77" s="349"/>
      <c r="AH77" s="349">
        <f t="shared" si="110"/>
        <v>0</v>
      </c>
      <c r="AI77" s="349">
        <f t="shared" si="110"/>
        <v>0</v>
      </c>
      <c r="AJ77" s="349">
        <f t="shared" si="110"/>
        <v>0</v>
      </c>
      <c r="AK77" s="349">
        <f t="shared" si="110"/>
        <v>0</v>
      </c>
      <c r="AL77" s="349">
        <f t="shared" si="110"/>
        <v>0</v>
      </c>
      <c r="AM77" s="349">
        <f t="shared" si="110"/>
        <v>0</v>
      </c>
      <c r="AN77" s="349"/>
      <c r="AO77" s="349">
        <f t="shared" si="110"/>
        <v>0</v>
      </c>
      <c r="AP77" s="349">
        <f t="shared" si="110"/>
        <v>0</v>
      </c>
      <c r="AQ77" s="349">
        <f t="shared" si="110"/>
        <v>0</v>
      </c>
      <c r="AR77" s="349">
        <f t="shared" si="110"/>
        <v>0</v>
      </c>
      <c r="AS77" s="349">
        <f t="shared" si="110"/>
        <v>0</v>
      </c>
      <c r="AT77" s="349">
        <f t="shared" si="110"/>
        <v>0</v>
      </c>
      <c r="AU77" s="349"/>
      <c r="AV77" s="349">
        <f t="shared" si="110"/>
        <v>0</v>
      </c>
      <c r="AW77" s="349">
        <f t="shared" si="110"/>
        <v>0</v>
      </c>
      <c r="AX77" s="349">
        <f t="shared" si="110"/>
        <v>0</v>
      </c>
      <c r="AY77" s="349">
        <f t="shared" si="110"/>
        <v>0</v>
      </c>
      <c r="AZ77" s="349">
        <f t="shared" si="110"/>
        <v>0</v>
      </c>
      <c r="BA77" s="349">
        <f t="shared" si="110"/>
        <v>0</v>
      </c>
      <c r="BB77" s="349"/>
      <c r="BC77" s="349">
        <f t="shared" si="110"/>
        <v>0</v>
      </c>
      <c r="BD77" s="349">
        <f t="shared" si="110"/>
        <v>0</v>
      </c>
      <c r="BE77" s="349">
        <f t="shared" si="110"/>
        <v>0</v>
      </c>
      <c r="BF77" s="349">
        <f t="shared" si="110"/>
        <v>0</v>
      </c>
      <c r="BG77" s="349">
        <f t="shared" si="110"/>
        <v>0</v>
      </c>
      <c r="BH77" s="349">
        <f t="shared" si="110"/>
        <v>0</v>
      </c>
      <c r="BI77" s="349"/>
      <c r="BJ77" s="349">
        <f t="shared" si="110"/>
        <v>0</v>
      </c>
      <c r="BK77" s="349">
        <f t="shared" si="110"/>
        <v>0</v>
      </c>
      <c r="BL77" s="349">
        <f t="shared" si="110"/>
        <v>0</v>
      </c>
      <c r="BM77" s="349">
        <f t="shared" si="110"/>
        <v>0</v>
      </c>
      <c r="BN77" s="349">
        <f t="shared" si="110"/>
        <v>0</v>
      </c>
      <c r="BO77" s="349">
        <f t="shared" si="110"/>
        <v>0</v>
      </c>
      <c r="BP77" s="349"/>
      <c r="BQ77" s="349">
        <f t="shared" si="110"/>
        <v>0</v>
      </c>
      <c r="BR77" s="349">
        <f t="shared" si="110"/>
        <v>0</v>
      </c>
      <c r="BS77" s="349">
        <f t="shared" si="110"/>
        <v>0</v>
      </c>
      <c r="BT77" s="349">
        <f t="shared" si="110"/>
        <v>0</v>
      </c>
      <c r="BU77" s="349">
        <f t="shared" si="110"/>
        <v>0</v>
      </c>
      <c r="BV77" s="349">
        <f t="shared" si="110"/>
        <v>0</v>
      </c>
      <c r="BW77" s="349"/>
      <c r="BX77" s="349">
        <f t="shared" si="110"/>
        <v>0</v>
      </c>
      <c r="BY77" s="349">
        <f t="shared" si="110"/>
        <v>0</v>
      </c>
      <c r="BZ77" s="349">
        <f aca="true" t="shared" si="111" ref="BZ77:CL77">SUM(BZ79:BZ79)</f>
        <v>0</v>
      </c>
      <c r="CA77" s="349"/>
      <c r="CB77" s="349">
        <f t="shared" si="111"/>
        <v>0</v>
      </c>
      <c r="CC77" s="349">
        <f t="shared" si="111"/>
        <v>0</v>
      </c>
      <c r="CD77" s="349">
        <f t="shared" si="111"/>
        <v>0</v>
      </c>
      <c r="CE77" s="349">
        <f t="shared" si="111"/>
        <v>0</v>
      </c>
      <c r="CF77" s="349">
        <f t="shared" si="111"/>
        <v>0</v>
      </c>
      <c r="CG77" s="349">
        <f t="shared" si="111"/>
        <v>0</v>
      </c>
      <c r="CH77" s="349">
        <f t="shared" si="111"/>
        <v>0</v>
      </c>
      <c r="CI77" s="349">
        <f t="shared" si="111"/>
        <v>0</v>
      </c>
      <c r="CJ77" s="349">
        <f t="shared" si="111"/>
        <v>0</v>
      </c>
      <c r="CK77" s="349">
        <f t="shared" si="111"/>
        <v>0</v>
      </c>
      <c r="CL77" s="349">
        <f t="shared" si="111"/>
        <v>0</v>
      </c>
      <c r="CM77" s="349">
        <f>SUM(CM79:CM79)</f>
        <v>0</v>
      </c>
      <c r="CN77" s="349">
        <f>SUM(CN79:CN79)</f>
        <v>0</v>
      </c>
      <c r="CO77" s="349">
        <f>SUM(CO79:CO79)</f>
        <v>0</v>
      </c>
      <c r="CP77" s="371"/>
      <c r="CQ77" s="469" t="s">
        <v>339</v>
      </c>
      <c r="CR77" s="428"/>
    </row>
    <row r="78" spans="1:96" s="368" customFormat="1" ht="31.5" customHeight="1">
      <c r="A78" s="265" t="s">
        <v>148</v>
      </c>
      <c r="B78" s="198" t="s">
        <v>553</v>
      </c>
      <c r="C78" s="352"/>
      <c r="D78" s="360"/>
      <c r="E78" s="353"/>
      <c r="F78" s="353"/>
      <c r="G78" s="353"/>
      <c r="H78" s="353"/>
      <c r="I78" s="353"/>
      <c r="J78" s="450"/>
      <c r="K78" s="450"/>
      <c r="L78" s="358"/>
      <c r="M78" s="358"/>
      <c r="N78" s="356">
        <v>216</v>
      </c>
      <c r="O78" s="356"/>
      <c r="P78" s="356">
        <f>W78+AD78+AK78+AR78+AY78+BF78+BM78+BT78+CB78+CJ78</f>
        <v>0</v>
      </c>
      <c r="Q78" s="356">
        <f>X78+AE78+AL78+AS78+AZ78+BG78+BN78+BU78+CC78+CK78</f>
        <v>0</v>
      </c>
      <c r="R78" s="356">
        <f>Y78+AF78+AM78+AT78+BA78+BH78+BO78+BV78+CD78+CL78</f>
        <v>0</v>
      </c>
      <c r="S78" s="356"/>
      <c r="T78" s="356">
        <f>AA78+AH78+AO78+AV78+BC78+BJ78+BQ78+BX78+CE78+CM78</f>
        <v>0</v>
      </c>
      <c r="U78" s="356"/>
      <c r="V78" s="357"/>
      <c r="W78" s="358"/>
      <c r="X78" s="358"/>
      <c r="Y78" s="358"/>
      <c r="Z78" s="358"/>
      <c r="AA78" s="358"/>
      <c r="AB78" s="358"/>
      <c r="AC78" s="357"/>
      <c r="AD78" s="358"/>
      <c r="AE78" s="358"/>
      <c r="AF78" s="358"/>
      <c r="AG78" s="358"/>
      <c r="AH78" s="358"/>
      <c r="AI78" s="358"/>
      <c r="AJ78" s="357"/>
      <c r="AK78" s="358"/>
      <c r="AL78" s="358"/>
      <c r="AM78" s="358"/>
      <c r="AN78" s="358"/>
      <c r="AO78" s="358"/>
      <c r="AP78" s="358"/>
      <c r="AQ78" s="357"/>
      <c r="AR78" s="358"/>
      <c r="AS78" s="358"/>
      <c r="AT78" s="358"/>
      <c r="AU78" s="358"/>
      <c r="AV78" s="358"/>
      <c r="AW78" s="358"/>
      <c r="AX78" s="357"/>
      <c r="AY78" s="358"/>
      <c r="AZ78" s="358"/>
      <c r="BA78" s="358"/>
      <c r="BB78" s="358"/>
      <c r="BC78" s="358"/>
      <c r="BD78" s="358"/>
      <c r="BE78" s="357"/>
      <c r="BF78" s="358"/>
      <c r="BG78" s="358"/>
      <c r="BH78" s="358"/>
      <c r="BI78" s="358"/>
      <c r="BJ78" s="358"/>
      <c r="BK78" s="358"/>
      <c r="BL78" s="357"/>
      <c r="BM78" s="358"/>
      <c r="BN78" s="358"/>
      <c r="BO78" s="358"/>
      <c r="BP78" s="358"/>
      <c r="BQ78" s="358"/>
      <c r="BR78" s="358"/>
      <c r="BS78" s="357">
        <f>SUM(BT78:BY78)</f>
        <v>0</v>
      </c>
      <c r="BT78" s="358"/>
      <c r="BU78" s="358"/>
      <c r="BV78" s="358"/>
      <c r="BW78" s="358"/>
      <c r="BX78" s="358"/>
      <c r="BY78" s="358"/>
      <c r="BZ78" s="357"/>
      <c r="CA78" s="358"/>
      <c r="CB78" s="358"/>
      <c r="CC78" s="358"/>
      <c r="CD78" s="358"/>
      <c r="CE78" s="358"/>
      <c r="CF78" s="358"/>
      <c r="CG78" s="358"/>
      <c r="CH78" s="357"/>
      <c r="CI78" s="358"/>
      <c r="CJ78" s="358"/>
      <c r="CK78" s="358"/>
      <c r="CL78" s="358"/>
      <c r="CM78" s="358"/>
      <c r="CN78" s="358"/>
      <c r="CO78" s="358"/>
      <c r="CP78" s="358" t="s">
        <v>544</v>
      </c>
      <c r="CQ78" s="372" t="s">
        <v>339</v>
      </c>
      <c r="CR78" s="379"/>
    </row>
    <row r="79" spans="1:96" s="368" customFormat="1" ht="36" customHeight="1">
      <c r="A79" s="265" t="s">
        <v>554</v>
      </c>
      <c r="B79" s="198" t="s">
        <v>555</v>
      </c>
      <c r="C79" s="352"/>
      <c r="D79" s="360"/>
      <c r="E79" s="353"/>
      <c r="F79" s="353"/>
      <c r="G79" s="353"/>
      <c r="H79" s="353"/>
      <c r="I79" s="353"/>
      <c r="J79" s="450"/>
      <c r="K79" s="450"/>
      <c r="L79" s="358"/>
      <c r="M79" s="358"/>
      <c r="N79" s="356">
        <v>108</v>
      </c>
      <c r="O79" s="356"/>
      <c r="P79" s="356"/>
      <c r="Q79" s="356"/>
      <c r="R79" s="356"/>
      <c r="S79" s="356"/>
      <c r="T79" s="356"/>
      <c r="U79" s="356"/>
      <c r="V79" s="357"/>
      <c r="W79" s="358"/>
      <c r="X79" s="358"/>
      <c r="Y79" s="358"/>
      <c r="Z79" s="358"/>
      <c r="AA79" s="358"/>
      <c r="AB79" s="358"/>
      <c r="AC79" s="357"/>
      <c r="AD79" s="358"/>
      <c r="AE79" s="358"/>
      <c r="AF79" s="358"/>
      <c r="AG79" s="358"/>
      <c r="AH79" s="358"/>
      <c r="AI79" s="358"/>
      <c r="AJ79" s="357"/>
      <c r="AK79" s="358"/>
      <c r="AL79" s="358"/>
      <c r="AM79" s="358"/>
      <c r="AN79" s="358"/>
      <c r="AO79" s="358"/>
      <c r="AP79" s="358"/>
      <c r="AQ79" s="357"/>
      <c r="AR79" s="358"/>
      <c r="AS79" s="358"/>
      <c r="AT79" s="358"/>
      <c r="AU79" s="358"/>
      <c r="AV79" s="358"/>
      <c r="AW79" s="358"/>
      <c r="AX79" s="357"/>
      <c r="AY79" s="358"/>
      <c r="AZ79" s="358"/>
      <c r="BA79" s="358"/>
      <c r="BB79" s="358"/>
      <c r="BC79" s="358"/>
      <c r="BD79" s="358"/>
      <c r="BE79" s="357"/>
      <c r="BF79" s="358"/>
      <c r="BG79" s="358"/>
      <c r="BH79" s="358"/>
      <c r="BI79" s="358"/>
      <c r="BJ79" s="358"/>
      <c r="BK79" s="358"/>
      <c r="BL79" s="357"/>
      <c r="BM79" s="358"/>
      <c r="BN79" s="358"/>
      <c r="BO79" s="358"/>
      <c r="BP79" s="358"/>
      <c r="BQ79" s="358"/>
      <c r="BR79" s="358"/>
      <c r="BS79" s="357"/>
      <c r="BT79" s="358"/>
      <c r="BU79" s="358"/>
      <c r="BV79" s="358"/>
      <c r="BW79" s="358"/>
      <c r="BX79" s="358"/>
      <c r="BY79" s="358"/>
      <c r="BZ79" s="357"/>
      <c r="CA79" s="358"/>
      <c r="CB79" s="358"/>
      <c r="CC79" s="358"/>
      <c r="CD79" s="358"/>
      <c r="CE79" s="358"/>
      <c r="CF79" s="358"/>
      <c r="CG79" s="358"/>
      <c r="CH79" s="357"/>
      <c r="CI79" s="358"/>
      <c r="CJ79" s="358"/>
      <c r="CK79" s="358"/>
      <c r="CL79" s="358"/>
      <c r="CM79" s="358"/>
      <c r="CN79" s="358"/>
      <c r="CO79" s="358"/>
      <c r="CP79" s="358" t="s">
        <v>544</v>
      </c>
      <c r="CQ79" s="372" t="s">
        <v>339</v>
      </c>
      <c r="CR79" s="379"/>
    </row>
    <row r="80" spans="1:96" s="100" customFormat="1" ht="12.75" customHeight="1" hidden="1">
      <c r="A80" s="101"/>
      <c r="B80" s="94" t="s">
        <v>132</v>
      </c>
      <c r="C80" s="95"/>
      <c r="D80" s="96"/>
      <c r="E80" s="96"/>
      <c r="F80" s="96"/>
      <c r="G80" s="96"/>
      <c r="H80" s="96"/>
      <c r="I80" s="96"/>
      <c r="J80" s="456"/>
      <c r="K80" s="456"/>
      <c r="L80" s="97">
        <f>Нормы!D21</f>
        <v>0</v>
      </c>
      <c r="M80" s="98" t="str">
        <f>Нормы!E21</f>
        <v>-</v>
      </c>
      <c r="N80" s="102">
        <f>SUM(O80:U80)</f>
        <v>0</v>
      </c>
      <c r="O80" s="99"/>
      <c r="P80" s="99"/>
      <c r="Q80" s="99"/>
      <c r="R80" s="99"/>
      <c r="S80" s="99"/>
      <c r="T80" s="99"/>
      <c r="U80" s="99"/>
      <c r="V80" s="102">
        <f>SUM(W80:AB80)</f>
        <v>0</v>
      </c>
      <c r="W80" s="99"/>
      <c r="X80" s="99"/>
      <c r="Y80" s="99"/>
      <c r="Z80" s="99"/>
      <c r="AA80" s="99"/>
      <c r="AB80" s="99"/>
      <c r="AC80" s="92">
        <f>SUM(AD80:AI80)</f>
        <v>0</v>
      </c>
      <c r="AD80" s="99"/>
      <c r="AE80" s="99"/>
      <c r="AF80" s="99"/>
      <c r="AG80" s="99"/>
      <c r="AH80" s="99"/>
      <c r="AI80" s="99"/>
      <c r="AJ80" s="102">
        <f>SUM(AK80:AP80)</f>
        <v>0</v>
      </c>
      <c r="AK80" s="99"/>
      <c r="AL80" s="99"/>
      <c r="AM80" s="99"/>
      <c r="AN80" s="99"/>
      <c r="AO80" s="99"/>
      <c r="AP80" s="99"/>
      <c r="AQ80" s="92">
        <f>SUM(AR80:AW80)</f>
        <v>0</v>
      </c>
      <c r="AR80" s="99"/>
      <c r="AS80" s="99"/>
      <c r="AT80" s="99"/>
      <c r="AU80" s="99"/>
      <c r="AV80" s="99"/>
      <c r="AW80" s="99"/>
      <c r="AX80" s="102">
        <f>SUM(AY80:BD80)</f>
        <v>0</v>
      </c>
      <c r="AY80" s="99"/>
      <c r="AZ80" s="99"/>
      <c r="BA80" s="99"/>
      <c r="BB80" s="99"/>
      <c r="BC80" s="99"/>
      <c r="BD80" s="99"/>
      <c r="BE80" s="92">
        <f>SUM(BF80:BK80)</f>
        <v>0</v>
      </c>
      <c r="BF80" s="99"/>
      <c r="BG80" s="99"/>
      <c r="BH80" s="99"/>
      <c r="BI80" s="99"/>
      <c r="BJ80" s="99"/>
      <c r="BK80" s="99"/>
      <c r="BL80" s="102">
        <f>SUM(BM80:BR80)</f>
        <v>0</v>
      </c>
      <c r="BM80" s="99"/>
      <c r="BN80" s="99"/>
      <c r="BO80" s="99"/>
      <c r="BP80" s="99"/>
      <c r="BQ80" s="99"/>
      <c r="BR80" s="99"/>
      <c r="BS80" s="92">
        <f>SUM(BT80:BY80)</f>
        <v>0</v>
      </c>
      <c r="BT80" s="99"/>
      <c r="BU80" s="99"/>
      <c r="BV80" s="99"/>
      <c r="BW80" s="99"/>
      <c r="BX80" s="99"/>
      <c r="BY80" s="99"/>
      <c r="BZ80" s="102">
        <f>SUM(CA80:CG80)</f>
        <v>0</v>
      </c>
      <c r="CA80" s="99"/>
      <c r="CB80" s="99"/>
      <c r="CC80" s="99"/>
      <c r="CD80" s="99"/>
      <c r="CE80" s="99"/>
      <c r="CF80" s="99">
        <f>CF11+CF27+CF65+CF72+CF74+CF77</f>
        <v>0</v>
      </c>
      <c r="CG80" s="99"/>
      <c r="CH80" s="92">
        <f>SUM(CI80:CO80)</f>
        <v>0</v>
      </c>
      <c r="CI80" s="99"/>
      <c r="CJ80" s="99"/>
      <c r="CK80" s="99"/>
      <c r="CL80" s="99"/>
      <c r="CM80" s="99"/>
      <c r="CN80" s="99">
        <f>CN11+CN27+CN65+CN72+CN74+CN77</f>
        <v>0</v>
      </c>
      <c r="CO80" s="99"/>
      <c r="CP80" s="103"/>
      <c r="CQ80" s="431"/>
      <c r="CR80" s="430"/>
    </row>
    <row r="81" spans="1:98" s="90" customFormat="1" ht="26.25" customHeight="1" hidden="1">
      <c r="A81" s="818"/>
      <c r="B81" s="819"/>
      <c r="C81" s="819"/>
      <c r="D81" s="820"/>
      <c r="E81" s="820"/>
      <c r="F81" s="820"/>
      <c r="G81" s="820"/>
      <c r="H81" s="820"/>
      <c r="I81" s="820"/>
      <c r="J81" s="821"/>
      <c r="K81" s="821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  <c r="AA81" s="822"/>
      <c r="AB81" s="822"/>
      <c r="AC81" s="822"/>
      <c r="AD81" s="822"/>
      <c r="AE81" s="822"/>
      <c r="AF81" s="822"/>
      <c r="AG81" s="822"/>
      <c r="AH81" s="822"/>
      <c r="AI81" s="822"/>
      <c r="AJ81" s="822"/>
      <c r="AK81" s="822"/>
      <c r="AL81" s="822"/>
      <c r="AM81" s="822"/>
      <c r="AN81" s="822"/>
      <c r="AO81" s="822"/>
      <c r="AP81" s="822"/>
      <c r="AQ81" s="822"/>
      <c r="AR81" s="822"/>
      <c r="AS81" s="822"/>
      <c r="AT81" s="822"/>
      <c r="AU81" s="822"/>
      <c r="AV81" s="822"/>
      <c r="AW81" s="822"/>
      <c r="AX81" s="822"/>
      <c r="AY81" s="822"/>
      <c r="AZ81" s="822"/>
      <c r="BA81" s="822"/>
      <c r="BB81" s="822"/>
      <c r="BC81" s="822"/>
      <c r="BD81" s="822"/>
      <c r="BE81" s="822"/>
      <c r="BF81" s="822"/>
      <c r="BG81" s="822"/>
      <c r="BH81" s="822"/>
      <c r="BI81" s="822"/>
      <c r="BJ81" s="822"/>
      <c r="BK81" s="822"/>
      <c r="BL81" s="822"/>
      <c r="BM81" s="822"/>
      <c r="BN81" s="822"/>
      <c r="BO81" s="822"/>
      <c r="BP81" s="822"/>
      <c r="BQ81" s="822"/>
      <c r="BR81" s="822"/>
      <c r="BS81" s="822"/>
      <c r="BT81" s="822"/>
      <c r="BU81" s="822"/>
      <c r="BV81" s="822"/>
      <c r="BW81" s="822"/>
      <c r="BX81" s="822"/>
      <c r="BY81" s="822"/>
      <c r="BZ81" s="822"/>
      <c r="CA81" s="822"/>
      <c r="CB81" s="822"/>
      <c r="CC81" s="822"/>
      <c r="CD81" s="822"/>
      <c r="CE81" s="822"/>
      <c r="CF81" s="822"/>
      <c r="CG81" s="822"/>
      <c r="CH81" s="822"/>
      <c r="CI81" s="822"/>
      <c r="CJ81" s="822"/>
      <c r="CK81" s="822"/>
      <c r="CL81" s="822"/>
      <c r="CM81" s="822"/>
      <c r="CN81" s="822"/>
      <c r="CO81" s="822"/>
      <c r="CP81" s="823"/>
      <c r="CQ81" s="823"/>
      <c r="CR81" s="824"/>
      <c r="CS81" s="825"/>
      <c r="CT81" s="825"/>
    </row>
    <row r="82" spans="1:98" s="90" customFormat="1" ht="27.75" customHeight="1" hidden="1">
      <c r="A82" s="826">
        <f>'Титульный лист (очная)'!A12:N12</f>
        <v>0</v>
      </c>
      <c r="B82" s="827"/>
      <c r="C82" s="827"/>
      <c r="D82" s="828"/>
      <c r="E82" s="828"/>
      <c r="F82" s="828"/>
      <c r="G82" s="828"/>
      <c r="H82" s="828"/>
      <c r="I82" s="828"/>
      <c r="J82" s="829"/>
      <c r="K82" s="829"/>
      <c r="L82" s="830"/>
      <c r="M82" s="830"/>
      <c r="N82" s="828"/>
      <c r="O82" s="828"/>
      <c r="P82" s="828"/>
      <c r="Q82" s="828"/>
      <c r="R82" s="828"/>
      <c r="S82" s="828"/>
      <c r="T82" s="828"/>
      <c r="U82" s="828"/>
      <c r="V82" s="830"/>
      <c r="W82" s="831"/>
      <c r="X82" s="831"/>
      <c r="Y82" s="831"/>
      <c r="Z82" s="831"/>
      <c r="AA82" s="831"/>
      <c r="AB82" s="831"/>
      <c r="AC82" s="830"/>
      <c r="AD82" s="831"/>
      <c r="AE82" s="831"/>
      <c r="AF82" s="831"/>
      <c r="AG82" s="831"/>
      <c r="AH82" s="831"/>
      <c r="AI82" s="831"/>
      <c r="AJ82" s="830"/>
      <c r="AK82" s="831"/>
      <c r="AL82" s="831"/>
      <c r="AM82" s="831"/>
      <c r="AN82" s="831"/>
      <c r="AO82" s="831"/>
      <c r="AP82" s="831"/>
      <c r="AQ82" s="830"/>
      <c r="AR82" s="831"/>
      <c r="AS82" s="831"/>
      <c r="AT82" s="831"/>
      <c r="AU82" s="831"/>
      <c r="AV82" s="831"/>
      <c r="AW82" s="831"/>
      <c r="AX82" s="830"/>
      <c r="AY82" s="831"/>
      <c r="AZ82" s="831"/>
      <c r="BA82" s="831"/>
      <c r="BB82" s="831"/>
      <c r="BC82" s="831"/>
      <c r="BD82" s="831"/>
      <c r="BE82" s="830"/>
      <c r="BF82" s="831"/>
      <c r="BG82" s="831"/>
      <c r="BH82" s="831"/>
      <c r="BI82" s="831"/>
      <c r="BJ82" s="831"/>
      <c r="BK82" s="831"/>
      <c r="BL82" s="830"/>
      <c r="BM82" s="831"/>
      <c r="BN82" s="831"/>
      <c r="BO82" s="831"/>
      <c r="BP82" s="831"/>
      <c r="BQ82" s="831"/>
      <c r="BR82" s="831"/>
      <c r="BS82" s="830"/>
      <c r="BT82" s="831"/>
      <c r="BU82" s="831"/>
      <c r="BV82" s="831"/>
      <c r="BW82" s="831"/>
      <c r="BX82" s="831"/>
      <c r="BY82" s="831"/>
      <c r="BZ82" s="830"/>
      <c r="CA82" s="831"/>
      <c r="CB82" s="831"/>
      <c r="CC82" s="831"/>
      <c r="CD82" s="831"/>
      <c r="CE82" s="831"/>
      <c r="CF82" s="831"/>
      <c r="CG82" s="831"/>
      <c r="CH82" s="830"/>
      <c r="CI82" s="831"/>
      <c r="CJ82" s="831"/>
      <c r="CK82" s="831"/>
      <c r="CL82" s="831"/>
      <c r="CM82" s="831"/>
      <c r="CN82" s="831"/>
      <c r="CO82" s="831"/>
      <c r="CP82" s="823"/>
      <c r="CQ82" s="823"/>
      <c r="CR82" s="824"/>
      <c r="CS82" s="825"/>
      <c r="CT82" s="825"/>
    </row>
    <row r="83" spans="1:98" s="90" customFormat="1" ht="27.75" customHeight="1" hidden="1">
      <c r="A83" s="832">
        <f>'Титульный лист (очная)'!O12:O12</f>
        <v>0</v>
      </c>
      <c r="B83" s="833"/>
      <c r="C83" s="833"/>
      <c r="D83" s="834"/>
      <c r="E83" s="834"/>
      <c r="F83" s="834"/>
      <c r="G83" s="834"/>
      <c r="H83" s="834"/>
      <c r="I83" s="834"/>
      <c r="J83" s="835"/>
      <c r="K83" s="835"/>
      <c r="L83" s="836"/>
      <c r="M83" s="836"/>
      <c r="N83" s="834"/>
      <c r="O83" s="834"/>
      <c r="P83" s="834"/>
      <c r="Q83" s="834"/>
      <c r="R83" s="834"/>
      <c r="S83" s="834"/>
      <c r="T83" s="834"/>
      <c r="U83" s="834"/>
      <c r="V83" s="836"/>
      <c r="W83" s="837"/>
      <c r="X83" s="837"/>
      <c r="Y83" s="837"/>
      <c r="Z83" s="837"/>
      <c r="AA83" s="837"/>
      <c r="AB83" s="837"/>
      <c r="AC83" s="836"/>
      <c r="AD83" s="837"/>
      <c r="AE83" s="837"/>
      <c r="AF83" s="837"/>
      <c r="AG83" s="837"/>
      <c r="AH83" s="837"/>
      <c r="AI83" s="837"/>
      <c r="AJ83" s="836"/>
      <c r="AK83" s="837"/>
      <c r="AL83" s="837"/>
      <c r="AM83" s="837"/>
      <c r="AN83" s="837"/>
      <c r="AO83" s="837"/>
      <c r="AP83" s="837"/>
      <c r="AQ83" s="836"/>
      <c r="AR83" s="837"/>
      <c r="AS83" s="837"/>
      <c r="AT83" s="837"/>
      <c r="AU83" s="837"/>
      <c r="AV83" s="837"/>
      <c r="AW83" s="837"/>
      <c r="AX83" s="836"/>
      <c r="AY83" s="837"/>
      <c r="AZ83" s="837"/>
      <c r="BA83" s="837"/>
      <c r="BB83" s="837"/>
      <c r="BC83" s="837"/>
      <c r="BD83" s="837"/>
      <c r="BE83" s="836"/>
      <c r="BF83" s="837"/>
      <c r="BG83" s="837"/>
      <c r="BH83" s="837"/>
      <c r="BI83" s="837"/>
      <c r="BJ83" s="837"/>
      <c r="BK83" s="837"/>
      <c r="BL83" s="836"/>
      <c r="BM83" s="837"/>
      <c r="BN83" s="837"/>
      <c r="BO83" s="837"/>
      <c r="BP83" s="837"/>
      <c r="BQ83" s="837"/>
      <c r="BR83" s="837"/>
      <c r="BS83" s="838"/>
      <c r="BT83" s="839"/>
      <c r="BU83" s="839"/>
      <c r="BV83" s="839"/>
      <c r="BW83" s="839"/>
      <c r="BX83" s="839"/>
      <c r="BY83" s="839"/>
      <c r="BZ83" s="836"/>
      <c r="CA83" s="837"/>
      <c r="CB83" s="837"/>
      <c r="CC83" s="837"/>
      <c r="CD83" s="837"/>
      <c r="CE83" s="837"/>
      <c r="CF83" s="837"/>
      <c r="CG83" s="837"/>
      <c r="CH83" s="836"/>
      <c r="CI83" s="837"/>
      <c r="CJ83" s="837"/>
      <c r="CK83" s="837"/>
      <c r="CL83" s="837"/>
      <c r="CM83" s="837"/>
      <c r="CN83" s="837"/>
      <c r="CO83" s="837"/>
      <c r="CP83" s="823"/>
      <c r="CQ83" s="823"/>
      <c r="CR83" s="824"/>
      <c r="CS83" s="825"/>
      <c r="CT83" s="825"/>
    </row>
    <row r="84" spans="1:98" s="386" customFormat="1" ht="15" customHeight="1">
      <c r="A84" s="840"/>
      <c r="B84" s="841" t="s">
        <v>461</v>
      </c>
      <c r="C84" s="842"/>
      <c r="D84" s="842"/>
      <c r="E84" s="842"/>
      <c r="F84" s="842"/>
      <c r="G84" s="842"/>
      <c r="H84" s="842"/>
      <c r="I84" s="843"/>
      <c r="J84" s="449"/>
      <c r="K84" s="449"/>
      <c r="L84" s="844">
        <f aca="true" t="shared" si="112" ref="L84:R84">L11+L27+L65</f>
        <v>6642</v>
      </c>
      <c r="M84" s="844">
        <f t="shared" si="112"/>
        <v>4428</v>
      </c>
      <c r="N84" s="845">
        <f t="shared" si="112"/>
        <v>6642</v>
      </c>
      <c r="O84" s="845">
        <f t="shared" si="112"/>
        <v>4428</v>
      </c>
      <c r="P84" s="845">
        <f t="shared" si="112"/>
        <v>3675</v>
      </c>
      <c r="Q84" s="845">
        <f t="shared" si="112"/>
        <v>693</v>
      </c>
      <c r="R84" s="845">
        <f t="shared" si="112"/>
        <v>60</v>
      </c>
      <c r="S84" s="845"/>
      <c r="T84" s="845">
        <f>T11+T27+T65</f>
        <v>0</v>
      </c>
      <c r="U84" s="846">
        <f>U11+U27+U65</f>
        <v>2214</v>
      </c>
      <c r="V84" s="847">
        <f>SUM(W84:AB84)</f>
        <v>864</v>
      </c>
      <c r="W84" s="848">
        <f>W11+W27+W65</f>
        <v>488</v>
      </c>
      <c r="X84" s="848">
        <f>X11+X27+X65</f>
        <v>88</v>
      </c>
      <c r="Y84" s="848">
        <f>Y11+Y27+Y65</f>
        <v>0</v>
      </c>
      <c r="Z84" s="848"/>
      <c r="AA84" s="848">
        <f>AA11+AA27+AA65</f>
        <v>0</v>
      </c>
      <c r="AB84" s="848">
        <f>AB11+AB27+AB65</f>
        <v>288</v>
      </c>
      <c r="AC84" s="849">
        <f>SUM(AD84:AI84)</f>
        <v>1242</v>
      </c>
      <c r="AD84" s="848">
        <f>AD11+AD27+AD65</f>
        <v>671</v>
      </c>
      <c r="AE84" s="848">
        <f>AE11+AE27+AE65</f>
        <v>157</v>
      </c>
      <c r="AF84" s="848">
        <f>AF11+AF27+AF65</f>
        <v>0</v>
      </c>
      <c r="AG84" s="848"/>
      <c r="AH84" s="848">
        <f>AH11+AH27+AH65</f>
        <v>0</v>
      </c>
      <c r="AI84" s="850">
        <f>AI11+AI27+AI65</f>
        <v>414</v>
      </c>
      <c r="AJ84" s="847">
        <f>SUM(AK84:AP84)</f>
        <v>864</v>
      </c>
      <c r="AK84" s="848">
        <f>AK11+AK27+AK65</f>
        <v>432</v>
      </c>
      <c r="AL84" s="848">
        <f>AL11+AL27+AL65</f>
        <v>144</v>
      </c>
      <c r="AM84" s="848">
        <f>AM11+AM27+AM65</f>
        <v>0</v>
      </c>
      <c r="AN84" s="848"/>
      <c r="AO84" s="848">
        <f>AO11+AO27+AO65</f>
        <v>0</v>
      </c>
      <c r="AP84" s="848">
        <f>AP11+AP27+AP65</f>
        <v>288</v>
      </c>
      <c r="AQ84" s="849">
        <f>SUM(AR84:AW84)</f>
        <v>1026</v>
      </c>
      <c r="AR84" s="848">
        <f>AR11+AR27+AR65</f>
        <v>570</v>
      </c>
      <c r="AS84" s="848">
        <f>AS11+AS27+AS65</f>
        <v>114</v>
      </c>
      <c r="AT84" s="848">
        <f>AT11+AT27+AT65</f>
        <v>0</v>
      </c>
      <c r="AU84" s="848"/>
      <c r="AV84" s="848">
        <f>AV11+AV27+AV65</f>
        <v>0</v>
      </c>
      <c r="AW84" s="850">
        <f>AW11+AW27+AW65</f>
        <v>342</v>
      </c>
      <c r="AX84" s="847">
        <f>SUM(AY84:BD84)</f>
        <v>918</v>
      </c>
      <c r="AY84" s="848">
        <f>AY11+AY27+AY65</f>
        <v>578</v>
      </c>
      <c r="AZ84" s="848">
        <f>AZ11+AZ27+AZ65</f>
        <v>34</v>
      </c>
      <c r="BA84" s="848">
        <f>BA11+BA27+BA65</f>
        <v>0</v>
      </c>
      <c r="BB84" s="848"/>
      <c r="BC84" s="848">
        <f>BC11+BC27+BC65</f>
        <v>0</v>
      </c>
      <c r="BD84" s="848">
        <f>BD11+BD27+BD65</f>
        <v>306</v>
      </c>
      <c r="BE84" s="849">
        <f>SUM(BF84:BK84)</f>
        <v>648</v>
      </c>
      <c r="BF84" s="848">
        <f>BF11+BF27+BF65</f>
        <v>388</v>
      </c>
      <c r="BG84" s="848">
        <f>BG11+BG27+BG65</f>
        <v>24</v>
      </c>
      <c r="BH84" s="848">
        <f>BH11+BH27+BH65</f>
        <v>20</v>
      </c>
      <c r="BI84" s="848"/>
      <c r="BJ84" s="848">
        <f>BJ11+BJ27+BJ65</f>
        <v>0</v>
      </c>
      <c r="BK84" s="850">
        <f>BK11+BK27+BK65</f>
        <v>216</v>
      </c>
      <c r="BL84" s="847">
        <f>SUM(BM84:BR84)</f>
        <v>432</v>
      </c>
      <c r="BM84" s="848">
        <f>BM11+BM27+BM65</f>
        <v>256</v>
      </c>
      <c r="BN84" s="848">
        <f>BN11+BN27+BN65</f>
        <v>32</v>
      </c>
      <c r="BO84" s="848">
        <f>BO11+BO27+BO65</f>
        <v>0</v>
      </c>
      <c r="BP84" s="848"/>
      <c r="BQ84" s="848">
        <f>BQ11+BQ27+BQ65</f>
        <v>0</v>
      </c>
      <c r="BR84" s="848">
        <f>BR11+BR27+BR65</f>
        <v>144</v>
      </c>
      <c r="BS84" s="847">
        <f>SUM(BT84:BY84)</f>
        <v>648</v>
      </c>
      <c r="BT84" s="848">
        <f>BT11+BT27+BT65</f>
        <v>292</v>
      </c>
      <c r="BU84" s="848">
        <f>BU11+BU27+BU65</f>
        <v>100</v>
      </c>
      <c r="BV84" s="848">
        <f>BV11+BV27+BV65</f>
        <v>40</v>
      </c>
      <c r="BW84" s="848"/>
      <c r="BX84" s="848">
        <f>BX11+BX27+BX65</f>
        <v>0</v>
      </c>
      <c r="BY84" s="848">
        <f>BY11+BY27+BY65</f>
        <v>216</v>
      </c>
      <c r="BZ84" s="851">
        <f>SUM(CA84:CG84)</f>
        <v>0</v>
      </c>
      <c r="CA84" s="848">
        <f aca="true" t="shared" si="113" ref="CA84:CG84">CA11+CA27+CA65</f>
        <v>0</v>
      </c>
      <c r="CB84" s="848">
        <f t="shared" si="113"/>
        <v>0</v>
      </c>
      <c r="CC84" s="848">
        <f t="shared" si="113"/>
        <v>0</v>
      </c>
      <c r="CD84" s="848">
        <f t="shared" si="113"/>
        <v>0</v>
      </c>
      <c r="CE84" s="848">
        <f t="shared" si="113"/>
        <v>0</v>
      </c>
      <c r="CF84" s="848">
        <f t="shared" si="113"/>
        <v>0</v>
      </c>
      <c r="CG84" s="848">
        <f t="shared" si="113"/>
        <v>0</v>
      </c>
      <c r="CH84" s="851">
        <f>SUM(CI84:CO84)</f>
        <v>0</v>
      </c>
      <c r="CI84" s="848">
        <f aca="true" t="shared" si="114" ref="CI84:CO84">CI11+CI27+CI65</f>
        <v>0</v>
      </c>
      <c r="CJ84" s="848">
        <f t="shared" si="114"/>
        <v>0</v>
      </c>
      <c r="CK84" s="848">
        <f t="shared" si="114"/>
        <v>0</v>
      </c>
      <c r="CL84" s="848">
        <f t="shared" si="114"/>
        <v>0</v>
      </c>
      <c r="CM84" s="848">
        <f t="shared" si="114"/>
        <v>0</v>
      </c>
      <c r="CN84" s="848">
        <f t="shared" si="114"/>
        <v>0</v>
      </c>
      <c r="CO84" s="852">
        <f t="shared" si="114"/>
        <v>0</v>
      </c>
      <c r="CP84" s="853"/>
      <c r="CQ84" s="853"/>
      <c r="CR84" s="854"/>
      <c r="CS84" s="855"/>
      <c r="CT84" s="855"/>
    </row>
    <row r="85" spans="1:98" s="386" customFormat="1" ht="15" customHeight="1">
      <c r="A85" s="840"/>
      <c r="B85" s="841" t="s">
        <v>175</v>
      </c>
      <c r="C85" s="842"/>
      <c r="D85" s="842"/>
      <c r="E85" s="842"/>
      <c r="F85" s="842"/>
      <c r="G85" s="842"/>
      <c r="H85" s="842"/>
      <c r="I85" s="843"/>
      <c r="J85" s="449"/>
      <c r="K85" s="449"/>
      <c r="L85" s="844">
        <f aca="true" t="shared" si="115" ref="L85:U85">L72+L74</f>
        <v>0</v>
      </c>
      <c r="M85" s="844">
        <f t="shared" si="115"/>
        <v>1044</v>
      </c>
      <c r="N85" s="845">
        <f t="shared" si="115"/>
        <v>0</v>
      </c>
      <c r="O85" s="845">
        <f t="shared" si="115"/>
        <v>1044</v>
      </c>
      <c r="P85" s="845">
        <f t="shared" si="115"/>
        <v>0</v>
      </c>
      <c r="Q85" s="845">
        <f t="shared" si="115"/>
        <v>0</v>
      </c>
      <c r="R85" s="845">
        <f t="shared" si="115"/>
        <v>0</v>
      </c>
      <c r="S85" s="845"/>
      <c r="T85" s="845">
        <f t="shared" si="115"/>
        <v>1044</v>
      </c>
      <c r="U85" s="856">
        <f t="shared" si="115"/>
        <v>0</v>
      </c>
      <c r="V85" s="847">
        <f>SUM(W85:AB85)</f>
        <v>0</v>
      </c>
      <c r="W85" s="848">
        <f>W72+W74</f>
        <v>0</v>
      </c>
      <c r="X85" s="848">
        <f>X72+X74</f>
        <v>0</v>
      </c>
      <c r="Y85" s="848">
        <f>Y72+Y74</f>
        <v>0</v>
      </c>
      <c r="Z85" s="848"/>
      <c r="AA85" s="848">
        <f>AA72+AA74</f>
        <v>0</v>
      </c>
      <c r="AB85" s="857">
        <f>AB72+AB74</f>
        <v>0</v>
      </c>
      <c r="AC85" s="849">
        <f>SUM(AD85:AI85)</f>
        <v>0</v>
      </c>
      <c r="AD85" s="848">
        <f>AD72+AD74</f>
        <v>0</v>
      </c>
      <c r="AE85" s="848">
        <f>AE72+AE74</f>
        <v>0</v>
      </c>
      <c r="AF85" s="848">
        <f>AF72+AF74</f>
        <v>0</v>
      </c>
      <c r="AG85" s="848"/>
      <c r="AH85" s="848">
        <f>AH72+AH74</f>
        <v>0</v>
      </c>
      <c r="AI85" s="848">
        <f>AI72+AI74</f>
        <v>0</v>
      </c>
      <c r="AJ85" s="847">
        <f>SUM(AK85:AP85)</f>
        <v>0</v>
      </c>
      <c r="AK85" s="848">
        <f>AK72+AK74</f>
        <v>0</v>
      </c>
      <c r="AL85" s="848">
        <f>AL72+AL74</f>
        <v>0</v>
      </c>
      <c r="AM85" s="848">
        <f>AM72+AM74</f>
        <v>0</v>
      </c>
      <c r="AN85" s="848"/>
      <c r="AO85" s="848">
        <f>AO72+AO74</f>
        <v>0</v>
      </c>
      <c r="AP85" s="857">
        <f>AP72+AP74</f>
        <v>0</v>
      </c>
      <c r="AQ85" s="849">
        <f>SUM(AR85:AW85)</f>
        <v>144</v>
      </c>
      <c r="AR85" s="848">
        <f>AR72+AR74</f>
        <v>0</v>
      </c>
      <c r="AS85" s="848">
        <f>AS72+AS74</f>
        <v>0</v>
      </c>
      <c r="AT85" s="848">
        <f>AT72+AT74</f>
        <v>0</v>
      </c>
      <c r="AU85" s="848"/>
      <c r="AV85" s="848">
        <f>AV72+AV74</f>
        <v>144</v>
      </c>
      <c r="AW85" s="848">
        <f>AW72+AW74</f>
        <v>0</v>
      </c>
      <c r="AX85" s="847">
        <f>SUM(AY85:BD85)</f>
        <v>0</v>
      </c>
      <c r="AY85" s="848">
        <f>AY72+AY74</f>
        <v>0</v>
      </c>
      <c r="AZ85" s="848">
        <f>AZ72+AZ74</f>
        <v>0</v>
      </c>
      <c r="BA85" s="848">
        <f>BA72+BA74</f>
        <v>0</v>
      </c>
      <c r="BB85" s="848"/>
      <c r="BC85" s="848">
        <f>BC72+BC74</f>
        <v>0</v>
      </c>
      <c r="BD85" s="857">
        <f>BD72+BD74</f>
        <v>0</v>
      </c>
      <c r="BE85" s="849">
        <f>SUM(BF85:BK85)</f>
        <v>432</v>
      </c>
      <c r="BF85" s="848">
        <f>BF72+BF74</f>
        <v>0</v>
      </c>
      <c r="BG85" s="848">
        <f>BG72+BG74</f>
        <v>0</v>
      </c>
      <c r="BH85" s="848">
        <f>BH72+BH74</f>
        <v>0</v>
      </c>
      <c r="BI85" s="848"/>
      <c r="BJ85" s="848">
        <f>BJ72+BJ74</f>
        <v>432</v>
      </c>
      <c r="BK85" s="848">
        <f>BK72+BK74</f>
        <v>0</v>
      </c>
      <c r="BL85" s="847">
        <f>SUM(BM85:BR85)</f>
        <v>324</v>
      </c>
      <c r="BM85" s="848">
        <f>BM72+BM74</f>
        <v>0</v>
      </c>
      <c r="BN85" s="848">
        <f>BN72+BN74</f>
        <v>0</v>
      </c>
      <c r="BO85" s="848">
        <f>BO72+BO74</f>
        <v>0</v>
      </c>
      <c r="BP85" s="848"/>
      <c r="BQ85" s="848">
        <f>BQ72+BQ74</f>
        <v>324</v>
      </c>
      <c r="BR85" s="857">
        <f>BR72+BR74</f>
        <v>0</v>
      </c>
      <c r="BS85" s="847">
        <f>SUM(BT85:BY85)</f>
        <v>144</v>
      </c>
      <c r="BT85" s="848">
        <f>BT72+BT74</f>
        <v>0</v>
      </c>
      <c r="BU85" s="848">
        <f>BU72+BU74</f>
        <v>0</v>
      </c>
      <c r="BV85" s="848">
        <f>BV72+BV74</f>
        <v>0</v>
      </c>
      <c r="BW85" s="848"/>
      <c r="BX85" s="848">
        <f>BX72+BX74</f>
        <v>144</v>
      </c>
      <c r="BY85" s="857">
        <f>BY72+BY74</f>
        <v>0</v>
      </c>
      <c r="BZ85" s="851">
        <f>SUM(CA85:CG85)</f>
        <v>0</v>
      </c>
      <c r="CA85" s="848">
        <f aca="true" t="shared" si="116" ref="CA85:CG85">CA72+CA74</f>
        <v>0</v>
      </c>
      <c r="CB85" s="848">
        <f t="shared" si="116"/>
        <v>0</v>
      </c>
      <c r="CC85" s="848">
        <f t="shared" si="116"/>
        <v>0</v>
      </c>
      <c r="CD85" s="848">
        <f t="shared" si="116"/>
        <v>0</v>
      </c>
      <c r="CE85" s="848">
        <f t="shared" si="116"/>
        <v>0</v>
      </c>
      <c r="CF85" s="848">
        <f t="shared" si="116"/>
        <v>0</v>
      </c>
      <c r="CG85" s="858">
        <f t="shared" si="116"/>
        <v>0</v>
      </c>
      <c r="CH85" s="851">
        <f>SUM(CI85:CO85)</f>
        <v>0</v>
      </c>
      <c r="CI85" s="848">
        <f aca="true" t="shared" si="117" ref="CI85:CO85">CI72+CI74</f>
        <v>0</v>
      </c>
      <c r="CJ85" s="848">
        <f t="shared" si="117"/>
        <v>0</v>
      </c>
      <c r="CK85" s="848">
        <f t="shared" si="117"/>
        <v>0</v>
      </c>
      <c r="CL85" s="848">
        <f t="shared" si="117"/>
        <v>0</v>
      </c>
      <c r="CM85" s="848">
        <f t="shared" si="117"/>
        <v>0</v>
      </c>
      <c r="CN85" s="848">
        <f t="shared" si="117"/>
        <v>0</v>
      </c>
      <c r="CO85" s="859">
        <f t="shared" si="117"/>
        <v>0</v>
      </c>
      <c r="CP85" s="853"/>
      <c r="CQ85" s="853"/>
      <c r="CR85" s="854"/>
      <c r="CS85" s="855"/>
      <c r="CT85" s="855"/>
    </row>
    <row r="86" spans="1:98" s="386" customFormat="1" ht="15" customHeight="1">
      <c r="A86" s="840"/>
      <c r="B86" s="841" t="s">
        <v>462</v>
      </c>
      <c r="C86" s="842"/>
      <c r="D86" s="842"/>
      <c r="E86" s="842"/>
      <c r="F86" s="842"/>
      <c r="G86" s="842"/>
      <c r="H86" s="842"/>
      <c r="I86" s="843"/>
      <c r="J86" s="449"/>
      <c r="K86" s="449"/>
      <c r="L86" s="844">
        <f aca="true" t="shared" si="118" ref="L86:U86">L77</f>
        <v>324</v>
      </c>
      <c r="M86" s="844">
        <f t="shared" si="118"/>
        <v>0</v>
      </c>
      <c r="N86" s="845">
        <f t="shared" si="118"/>
        <v>324</v>
      </c>
      <c r="O86" s="845">
        <f t="shared" si="118"/>
        <v>0</v>
      </c>
      <c r="P86" s="845">
        <f t="shared" si="118"/>
        <v>0</v>
      </c>
      <c r="Q86" s="845">
        <f t="shared" si="118"/>
        <v>0</v>
      </c>
      <c r="R86" s="845">
        <f t="shared" si="118"/>
        <v>0</v>
      </c>
      <c r="S86" s="845"/>
      <c r="T86" s="845">
        <f t="shared" si="118"/>
        <v>0</v>
      </c>
      <c r="U86" s="856">
        <f t="shared" si="118"/>
        <v>0</v>
      </c>
      <c r="V86" s="847">
        <f>SUM(W86:AB86)</f>
        <v>0</v>
      </c>
      <c r="W86" s="848">
        <f>W77</f>
        <v>0</v>
      </c>
      <c r="X86" s="848">
        <f>X77</f>
        <v>0</v>
      </c>
      <c r="Y86" s="848">
        <f>Y77</f>
        <v>0</v>
      </c>
      <c r="Z86" s="848"/>
      <c r="AA86" s="848">
        <f>AA77</f>
        <v>0</v>
      </c>
      <c r="AB86" s="857">
        <f>AB77</f>
        <v>0</v>
      </c>
      <c r="AC86" s="849">
        <f aca="true" t="shared" si="119" ref="AC86:AI86">AC77</f>
        <v>0</v>
      </c>
      <c r="AD86" s="848">
        <f t="shared" si="119"/>
        <v>0</v>
      </c>
      <c r="AE86" s="848">
        <f t="shared" si="119"/>
        <v>0</v>
      </c>
      <c r="AF86" s="848">
        <f t="shared" si="119"/>
        <v>0</v>
      </c>
      <c r="AG86" s="848"/>
      <c r="AH86" s="848">
        <f t="shared" si="119"/>
        <v>0</v>
      </c>
      <c r="AI86" s="848">
        <f t="shared" si="119"/>
        <v>0</v>
      </c>
      <c r="AJ86" s="847">
        <f aca="true" t="shared" si="120" ref="AJ86:AP86">AJ77</f>
        <v>0</v>
      </c>
      <c r="AK86" s="848">
        <f t="shared" si="120"/>
        <v>0</v>
      </c>
      <c r="AL86" s="848">
        <f t="shared" si="120"/>
        <v>0</v>
      </c>
      <c r="AM86" s="848">
        <f t="shared" si="120"/>
        <v>0</v>
      </c>
      <c r="AN86" s="848"/>
      <c r="AO86" s="848">
        <f t="shared" si="120"/>
        <v>0</v>
      </c>
      <c r="AP86" s="857">
        <f t="shared" si="120"/>
        <v>0</v>
      </c>
      <c r="AQ86" s="849">
        <f aca="true" t="shared" si="121" ref="AQ86:AW86">AQ77</f>
        <v>0</v>
      </c>
      <c r="AR86" s="848">
        <f t="shared" si="121"/>
        <v>0</v>
      </c>
      <c r="AS86" s="848">
        <f t="shared" si="121"/>
        <v>0</v>
      </c>
      <c r="AT86" s="848">
        <f t="shared" si="121"/>
        <v>0</v>
      </c>
      <c r="AU86" s="848"/>
      <c r="AV86" s="848">
        <f t="shared" si="121"/>
        <v>0</v>
      </c>
      <c r="AW86" s="848">
        <f t="shared" si="121"/>
        <v>0</v>
      </c>
      <c r="AX86" s="847">
        <f aca="true" t="shared" si="122" ref="AX86:BD86">AX77</f>
        <v>0</v>
      </c>
      <c r="AY86" s="848">
        <f t="shared" si="122"/>
        <v>0</v>
      </c>
      <c r="AZ86" s="848">
        <f t="shared" si="122"/>
        <v>0</v>
      </c>
      <c r="BA86" s="848">
        <f t="shared" si="122"/>
        <v>0</v>
      </c>
      <c r="BB86" s="848"/>
      <c r="BC86" s="848">
        <f t="shared" si="122"/>
        <v>0</v>
      </c>
      <c r="BD86" s="857">
        <f t="shared" si="122"/>
        <v>0</v>
      </c>
      <c r="BE86" s="849">
        <f aca="true" t="shared" si="123" ref="BE86:BK86">BE77</f>
        <v>0</v>
      </c>
      <c r="BF86" s="848">
        <f t="shared" si="123"/>
        <v>0</v>
      </c>
      <c r="BG86" s="848">
        <f t="shared" si="123"/>
        <v>0</v>
      </c>
      <c r="BH86" s="848">
        <f t="shared" si="123"/>
        <v>0</v>
      </c>
      <c r="BI86" s="848"/>
      <c r="BJ86" s="848">
        <f t="shared" si="123"/>
        <v>0</v>
      </c>
      <c r="BK86" s="848">
        <f t="shared" si="123"/>
        <v>0</v>
      </c>
      <c r="BL86" s="847">
        <f aca="true" t="shared" si="124" ref="BL86:BR86">BL77</f>
        <v>0</v>
      </c>
      <c r="BM86" s="848">
        <f t="shared" si="124"/>
        <v>0</v>
      </c>
      <c r="BN86" s="848">
        <f t="shared" si="124"/>
        <v>0</v>
      </c>
      <c r="BO86" s="848">
        <f t="shared" si="124"/>
        <v>0</v>
      </c>
      <c r="BP86" s="848"/>
      <c r="BQ86" s="848">
        <f t="shared" si="124"/>
        <v>0</v>
      </c>
      <c r="BR86" s="857">
        <f t="shared" si="124"/>
        <v>0</v>
      </c>
      <c r="BS86" s="847">
        <f aca="true" t="shared" si="125" ref="BS86:BY86">BS77</f>
        <v>0</v>
      </c>
      <c r="BT86" s="848">
        <f t="shared" si="125"/>
        <v>0</v>
      </c>
      <c r="BU86" s="848">
        <f t="shared" si="125"/>
        <v>0</v>
      </c>
      <c r="BV86" s="848">
        <f t="shared" si="125"/>
        <v>0</v>
      </c>
      <c r="BW86" s="848"/>
      <c r="BX86" s="848">
        <f t="shared" si="125"/>
        <v>0</v>
      </c>
      <c r="BY86" s="857">
        <f t="shared" si="125"/>
        <v>0</v>
      </c>
      <c r="BZ86" s="851">
        <f aca="true" t="shared" si="126" ref="BZ86:CG86">BZ77</f>
        <v>0</v>
      </c>
      <c r="CA86" s="848">
        <f t="shared" si="126"/>
        <v>0</v>
      </c>
      <c r="CB86" s="848">
        <f t="shared" si="126"/>
        <v>0</v>
      </c>
      <c r="CC86" s="848">
        <f t="shared" si="126"/>
        <v>0</v>
      </c>
      <c r="CD86" s="848">
        <f t="shared" si="126"/>
        <v>0</v>
      </c>
      <c r="CE86" s="848">
        <f t="shared" si="126"/>
        <v>0</v>
      </c>
      <c r="CF86" s="848">
        <f t="shared" si="126"/>
        <v>0</v>
      </c>
      <c r="CG86" s="858">
        <f t="shared" si="126"/>
        <v>0</v>
      </c>
      <c r="CH86" s="851">
        <f aca="true" t="shared" si="127" ref="CH86:CO86">CH77</f>
        <v>0</v>
      </c>
      <c r="CI86" s="848">
        <f t="shared" si="127"/>
        <v>0</v>
      </c>
      <c r="CJ86" s="848">
        <f t="shared" si="127"/>
        <v>0</v>
      </c>
      <c r="CK86" s="848">
        <f t="shared" si="127"/>
        <v>0</v>
      </c>
      <c r="CL86" s="848">
        <f t="shared" si="127"/>
        <v>0</v>
      </c>
      <c r="CM86" s="848">
        <f t="shared" si="127"/>
        <v>0</v>
      </c>
      <c r="CN86" s="848">
        <f t="shared" si="127"/>
        <v>0</v>
      </c>
      <c r="CO86" s="859">
        <f t="shared" si="127"/>
        <v>0</v>
      </c>
      <c r="CP86" s="853"/>
      <c r="CQ86" s="853"/>
      <c r="CR86" s="854"/>
      <c r="CS86" s="855"/>
      <c r="CT86" s="855"/>
    </row>
    <row r="87" spans="1:98" s="386" customFormat="1" ht="15" customHeight="1">
      <c r="A87" s="860"/>
      <c r="B87" s="861" t="s">
        <v>215</v>
      </c>
      <c r="C87" s="862"/>
      <c r="D87" s="862"/>
      <c r="E87" s="862"/>
      <c r="F87" s="862"/>
      <c r="G87" s="862"/>
      <c r="H87" s="862"/>
      <c r="I87" s="863"/>
      <c r="J87" s="864"/>
      <c r="K87" s="864"/>
      <c r="L87" s="865">
        <f aca="true" t="shared" si="128" ref="L87:U87">L80</f>
        <v>0</v>
      </c>
      <c r="M87" s="865" t="str">
        <f t="shared" si="128"/>
        <v>-</v>
      </c>
      <c r="N87" s="857">
        <f t="shared" si="128"/>
        <v>0</v>
      </c>
      <c r="O87" s="857">
        <f t="shared" si="128"/>
        <v>0</v>
      </c>
      <c r="P87" s="857">
        <f t="shared" si="128"/>
        <v>0</v>
      </c>
      <c r="Q87" s="857">
        <f t="shared" si="128"/>
        <v>0</v>
      </c>
      <c r="R87" s="857">
        <f t="shared" si="128"/>
        <v>0</v>
      </c>
      <c r="S87" s="857">
        <f>SUM(S13:S79)</f>
        <v>0</v>
      </c>
      <c r="T87" s="857">
        <f t="shared" si="128"/>
        <v>0</v>
      </c>
      <c r="U87" s="848">
        <f t="shared" si="128"/>
        <v>0</v>
      </c>
      <c r="V87" s="866">
        <f aca="true" t="shared" si="129" ref="V87:AB87">V80</f>
        <v>0</v>
      </c>
      <c r="W87" s="848">
        <f t="shared" si="129"/>
        <v>0</v>
      </c>
      <c r="X87" s="848">
        <f t="shared" si="129"/>
        <v>0</v>
      </c>
      <c r="Y87" s="848">
        <f t="shared" si="129"/>
        <v>0</v>
      </c>
      <c r="Z87" s="848"/>
      <c r="AA87" s="848">
        <f t="shared" si="129"/>
        <v>0</v>
      </c>
      <c r="AB87" s="857">
        <f t="shared" si="129"/>
        <v>0</v>
      </c>
      <c r="AC87" s="867">
        <f aca="true" t="shared" si="130" ref="AC87:AI87">AC80</f>
        <v>0</v>
      </c>
      <c r="AD87" s="848">
        <f t="shared" si="130"/>
        <v>0</v>
      </c>
      <c r="AE87" s="848">
        <f t="shared" si="130"/>
        <v>0</v>
      </c>
      <c r="AF87" s="848">
        <f t="shared" si="130"/>
        <v>0</v>
      </c>
      <c r="AG87" s="848"/>
      <c r="AH87" s="848">
        <f t="shared" si="130"/>
        <v>0</v>
      </c>
      <c r="AI87" s="848">
        <f t="shared" si="130"/>
        <v>0</v>
      </c>
      <c r="AJ87" s="866">
        <f aca="true" t="shared" si="131" ref="AJ87:AP87">AJ80</f>
        <v>0</v>
      </c>
      <c r="AK87" s="848">
        <f t="shared" si="131"/>
        <v>0</v>
      </c>
      <c r="AL87" s="848">
        <f t="shared" si="131"/>
        <v>0</v>
      </c>
      <c r="AM87" s="848">
        <f t="shared" si="131"/>
        <v>0</v>
      </c>
      <c r="AN87" s="848"/>
      <c r="AO87" s="848">
        <f t="shared" si="131"/>
        <v>0</v>
      </c>
      <c r="AP87" s="857">
        <f t="shared" si="131"/>
        <v>0</v>
      </c>
      <c r="AQ87" s="867">
        <f aca="true" t="shared" si="132" ref="AQ87:AW87">AQ80</f>
        <v>0</v>
      </c>
      <c r="AR87" s="848">
        <f t="shared" si="132"/>
        <v>0</v>
      </c>
      <c r="AS87" s="848">
        <f t="shared" si="132"/>
        <v>0</v>
      </c>
      <c r="AT87" s="848">
        <f t="shared" si="132"/>
        <v>0</v>
      </c>
      <c r="AU87" s="848"/>
      <c r="AV87" s="848">
        <f t="shared" si="132"/>
        <v>0</v>
      </c>
      <c r="AW87" s="848">
        <f t="shared" si="132"/>
        <v>0</v>
      </c>
      <c r="AX87" s="866">
        <f aca="true" t="shared" si="133" ref="AX87:BD87">AX80</f>
        <v>0</v>
      </c>
      <c r="AY87" s="848">
        <f t="shared" si="133"/>
        <v>0</v>
      </c>
      <c r="AZ87" s="848">
        <f t="shared" si="133"/>
        <v>0</v>
      </c>
      <c r="BA87" s="848">
        <f t="shared" si="133"/>
        <v>0</v>
      </c>
      <c r="BB87" s="848"/>
      <c r="BC87" s="848">
        <f t="shared" si="133"/>
        <v>0</v>
      </c>
      <c r="BD87" s="857">
        <f t="shared" si="133"/>
        <v>0</v>
      </c>
      <c r="BE87" s="867">
        <f aca="true" t="shared" si="134" ref="BE87:BK87">BE80</f>
        <v>0</v>
      </c>
      <c r="BF87" s="848">
        <f t="shared" si="134"/>
        <v>0</v>
      </c>
      <c r="BG87" s="848">
        <f t="shared" si="134"/>
        <v>0</v>
      </c>
      <c r="BH87" s="848">
        <f t="shared" si="134"/>
        <v>0</v>
      </c>
      <c r="BI87" s="848"/>
      <c r="BJ87" s="848">
        <f t="shared" si="134"/>
        <v>0</v>
      </c>
      <c r="BK87" s="848">
        <f t="shared" si="134"/>
        <v>0</v>
      </c>
      <c r="BL87" s="866">
        <f aca="true" t="shared" si="135" ref="BL87:BR87">BL80</f>
        <v>0</v>
      </c>
      <c r="BM87" s="848">
        <f t="shared" si="135"/>
        <v>0</v>
      </c>
      <c r="BN87" s="848">
        <f t="shared" si="135"/>
        <v>0</v>
      </c>
      <c r="BO87" s="848">
        <f t="shared" si="135"/>
        <v>0</v>
      </c>
      <c r="BP87" s="848"/>
      <c r="BQ87" s="848">
        <f t="shared" si="135"/>
        <v>0</v>
      </c>
      <c r="BR87" s="857">
        <f t="shared" si="135"/>
        <v>0</v>
      </c>
      <c r="BS87" s="866">
        <f aca="true" t="shared" si="136" ref="BS87:BY87">BS80</f>
        <v>0</v>
      </c>
      <c r="BT87" s="848">
        <f t="shared" si="136"/>
        <v>0</v>
      </c>
      <c r="BU87" s="848">
        <f t="shared" si="136"/>
        <v>0</v>
      </c>
      <c r="BV87" s="848">
        <f t="shared" si="136"/>
        <v>0</v>
      </c>
      <c r="BW87" s="848"/>
      <c r="BX87" s="848">
        <f t="shared" si="136"/>
        <v>0</v>
      </c>
      <c r="BY87" s="857">
        <f t="shared" si="136"/>
        <v>0</v>
      </c>
      <c r="BZ87" s="868">
        <f aca="true" t="shared" si="137" ref="BZ87:CG87">BZ80</f>
        <v>0</v>
      </c>
      <c r="CA87" s="848">
        <f t="shared" si="137"/>
        <v>0</v>
      </c>
      <c r="CB87" s="848">
        <f t="shared" si="137"/>
        <v>0</v>
      </c>
      <c r="CC87" s="848">
        <f t="shared" si="137"/>
        <v>0</v>
      </c>
      <c r="CD87" s="848">
        <f t="shared" si="137"/>
        <v>0</v>
      </c>
      <c r="CE87" s="848">
        <f t="shared" si="137"/>
        <v>0</v>
      </c>
      <c r="CF87" s="848">
        <f t="shared" si="137"/>
        <v>0</v>
      </c>
      <c r="CG87" s="858">
        <f t="shared" si="137"/>
        <v>0</v>
      </c>
      <c r="CH87" s="868">
        <f aca="true" t="shared" si="138" ref="CH87:CO87">CH80</f>
        <v>0</v>
      </c>
      <c r="CI87" s="848">
        <f t="shared" si="138"/>
        <v>0</v>
      </c>
      <c r="CJ87" s="848">
        <f t="shared" si="138"/>
        <v>0</v>
      </c>
      <c r="CK87" s="848">
        <f t="shared" si="138"/>
        <v>0</v>
      </c>
      <c r="CL87" s="848">
        <f t="shared" si="138"/>
        <v>0</v>
      </c>
      <c r="CM87" s="848">
        <f t="shared" si="138"/>
        <v>0</v>
      </c>
      <c r="CN87" s="848">
        <f t="shared" si="138"/>
        <v>0</v>
      </c>
      <c r="CO87" s="858">
        <f t="shared" si="138"/>
        <v>0</v>
      </c>
      <c r="CP87" s="853"/>
      <c r="CQ87" s="853"/>
      <c r="CR87" s="854"/>
      <c r="CS87" s="855"/>
      <c r="CT87" s="855"/>
    </row>
    <row r="88" spans="1:98" s="386" customFormat="1" ht="15" customHeight="1">
      <c r="A88" s="869"/>
      <c r="B88" s="841" t="s">
        <v>159</v>
      </c>
      <c r="C88" s="842"/>
      <c r="D88" s="842"/>
      <c r="E88" s="842"/>
      <c r="F88" s="842"/>
      <c r="G88" s="842"/>
      <c r="H88" s="842"/>
      <c r="I88" s="842"/>
      <c r="J88" s="870"/>
      <c r="K88" s="870"/>
      <c r="L88" s="871">
        <f aca="true" t="shared" si="139" ref="L88:U88">SUM(L84:L86)</f>
        <v>6966</v>
      </c>
      <c r="M88" s="871">
        <f t="shared" si="139"/>
        <v>5472</v>
      </c>
      <c r="N88" s="872">
        <f t="shared" si="139"/>
        <v>6966</v>
      </c>
      <c r="O88" s="872">
        <f t="shared" si="139"/>
        <v>5472</v>
      </c>
      <c r="P88" s="872">
        <f t="shared" si="139"/>
        <v>3675</v>
      </c>
      <c r="Q88" s="872">
        <f t="shared" si="139"/>
        <v>693</v>
      </c>
      <c r="R88" s="872">
        <f t="shared" si="139"/>
        <v>60</v>
      </c>
      <c r="S88" s="872"/>
      <c r="T88" s="872">
        <f t="shared" si="139"/>
        <v>1044</v>
      </c>
      <c r="U88" s="856">
        <f t="shared" si="139"/>
        <v>2214</v>
      </c>
      <c r="V88" s="847">
        <f aca="true" t="shared" si="140" ref="V88:AI88">SUM(V84:V86)</f>
        <v>864</v>
      </c>
      <c r="W88" s="848">
        <f t="shared" si="140"/>
        <v>488</v>
      </c>
      <c r="X88" s="848">
        <f t="shared" si="140"/>
        <v>88</v>
      </c>
      <c r="Y88" s="848">
        <f t="shared" si="140"/>
        <v>0</v>
      </c>
      <c r="Z88" s="848"/>
      <c r="AA88" s="848">
        <f t="shared" si="140"/>
        <v>0</v>
      </c>
      <c r="AB88" s="848">
        <f t="shared" si="140"/>
        <v>288</v>
      </c>
      <c r="AC88" s="849">
        <f t="shared" si="140"/>
        <v>1242</v>
      </c>
      <c r="AD88" s="848">
        <f t="shared" si="140"/>
        <v>671</v>
      </c>
      <c r="AE88" s="848">
        <f t="shared" si="140"/>
        <v>157</v>
      </c>
      <c r="AF88" s="848">
        <f t="shared" si="140"/>
        <v>0</v>
      </c>
      <c r="AG88" s="848"/>
      <c r="AH88" s="848">
        <f t="shared" si="140"/>
        <v>0</v>
      </c>
      <c r="AI88" s="850">
        <f t="shared" si="140"/>
        <v>414</v>
      </c>
      <c r="AJ88" s="847">
        <f aca="true" t="shared" si="141" ref="AJ88:AW88">SUM(AJ84:AJ86)</f>
        <v>864</v>
      </c>
      <c r="AK88" s="848">
        <f t="shared" si="141"/>
        <v>432</v>
      </c>
      <c r="AL88" s="848">
        <f t="shared" si="141"/>
        <v>144</v>
      </c>
      <c r="AM88" s="848">
        <f t="shared" si="141"/>
        <v>0</v>
      </c>
      <c r="AN88" s="848"/>
      <c r="AO88" s="848">
        <f t="shared" si="141"/>
        <v>0</v>
      </c>
      <c r="AP88" s="848">
        <f t="shared" si="141"/>
        <v>288</v>
      </c>
      <c r="AQ88" s="849">
        <f t="shared" si="141"/>
        <v>1170</v>
      </c>
      <c r="AR88" s="848">
        <f t="shared" si="141"/>
        <v>570</v>
      </c>
      <c r="AS88" s="848">
        <f t="shared" si="141"/>
        <v>114</v>
      </c>
      <c r="AT88" s="848">
        <f t="shared" si="141"/>
        <v>0</v>
      </c>
      <c r="AU88" s="848"/>
      <c r="AV88" s="848">
        <f t="shared" si="141"/>
        <v>144</v>
      </c>
      <c r="AW88" s="850">
        <f t="shared" si="141"/>
        <v>342</v>
      </c>
      <c r="AX88" s="847">
        <f aca="true" t="shared" si="142" ref="AX88:BK88">SUM(AX84:AX86)</f>
        <v>918</v>
      </c>
      <c r="AY88" s="848">
        <f t="shared" si="142"/>
        <v>578</v>
      </c>
      <c r="AZ88" s="848">
        <f t="shared" si="142"/>
        <v>34</v>
      </c>
      <c r="BA88" s="848">
        <f t="shared" si="142"/>
        <v>0</v>
      </c>
      <c r="BB88" s="848"/>
      <c r="BC88" s="848">
        <f t="shared" si="142"/>
        <v>0</v>
      </c>
      <c r="BD88" s="848">
        <f t="shared" si="142"/>
        <v>306</v>
      </c>
      <c r="BE88" s="849">
        <f t="shared" si="142"/>
        <v>1080</v>
      </c>
      <c r="BF88" s="848">
        <f t="shared" si="142"/>
        <v>388</v>
      </c>
      <c r="BG88" s="848">
        <f t="shared" si="142"/>
        <v>24</v>
      </c>
      <c r="BH88" s="848">
        <f t="shared" si="142"/>
        <v>20</v>
      </c>
      <c r="BI88" s="848"/>
      <c r="BJ88" s="848">
        <f t="shared" si="142"/>
        <v>432</v>
      </c>
      <c r="BK88" s="850">
        <f t="shared" si="142"/>
        <v>216</v>
      </c>
      <c r="BL88" s="847">
        <f aca="true" t="shared" si="143" ref="BL88:BY88">SUM(BL84:BL86)</f>
        <v>756</v>
      </c>
      <c r="BM88" s="848">
        <f t="shared" si="143"/>
        <v>256</v>
      </c>
      <c r="BN88" s="848">
        <f t="shared" si="143"/>
        <v>32</v>
      </c>
      <c r="BO88" s="848">
        <f t="shared" si="143"/>
        <v>0</v>
      </c>
      <c r="BP88" s="848"/>
      <c r="BQ88" s="848">
        <f t="shared" si="143"/>
        <v>324</v>
      </c>
      <c r="BR88" s="848">
        <f t="shared" si="143"/>
        <v>144</v>
      </c>
      <c r="BS88" s="847">
        <f t="shared" si="143"/>
        <v>792</v>
      </c>
      <c r="BT88" s="848">
        <f t="shared" si="143"/>
        <v>292</v>
      </c>
      <c r="BU88" s="848">
        <f t="shared" si="143"/>
        <v>100</v>
      </c>
      <c r="BV88" s="848">
        <f t="shared" si="143"/>
        <v>40</v>
      </c>
      <c r="BW88" s="848"/>
      <c r="BX88" s="848">
        <f t="shared" si="143"/>
        <v>144</v>
      </c>
      <c r="BY88" s="848">
        <f t="shared" si="143"/>
        <v>216</v>
      </c>
      <c r="BZ88" s="851">
        <f aca="true" t="shared" si="144" ref="BZ88:CO88">SUM(BZ84:BZ86)</f>
        <v>0</v>
      </c>
      <c r="CA88" s="848">
        <f t="shared" si="144"/>
        <v>0</v>
      </c>
      <c r="CB88" s="848">
        <f t="shared" si="144"/>
        <v>0</v>
      </c>
      <c r="CC88" s="848">
        <f t="shared" si="144"/>
        <v>0</v>
      </c>
      <c r="CD88" s="848">
        <f t="shared" si="144"/>
        <v>0</v>
      </c>
      <c r="CE88" s="848">
        <f t="shared" si="144"/>
        <v>0</v>
      </c>
      <c r="CF88" s="848">
        <f t="shared" si="144"/>
        <v>0</v>
      </c>
      <c r="CG88" s="850">
        <f t="shared" si="144"/>
        <v>0</v>
      </c>
      <c r="CH88" s="851">
        <f t="shared" si="144"/>
        <v>0</v>
      </c>
      <c r="CI88" s="848">
        <f t="shared" si="144"/>
        <v>0</v>
      </c>
      <c r="CJ88" s="848">
        <f t="shared" si="144"/>
        <v>0</v>
      </c>
      <c r="CK88" s="848">
        <f t="shared" si="144"/>
        <v>0</v>
      </c>
      <c r="CL88" s="848">
        <f t="shared" si="144"/>
        <v>0</v>
      </c>
      <c r="CM88" s="848">
        <f t="shared" si="144"/>
        <v>0</v>
      </c>
      <c r="CN88" s="848">
        <f t="shared" si="144"/>
        <v>0</v>
      </c>
      <c r="CO88" s="850">
        <f t="shared" si="144"/>
        <v>0</v>
      </c>
      <c r="CP88" s="853"/>
      <c r="CQ88" s="853"/>
      <c r="CR88" s="854"/>
      <c r="CS88" s="855"/>
      <c r="CT88" s="855"/>
    </row>
    <row r="89" spans="1:98" s="386" customFormat="1" ht="15" customHeight="1">
      <c r="A89" s="869"/>
      <c r="B89" s="861" t="s">
        <v>176</v>
      </c>
      <c r="C89" s="862"/>
      <c r="D89" s="862"/>
      <c r="E89" s="862"/>
      <c r="F89" s="862"/>
      <c r="G89" s="862"/>
      <c r="H89" s="862"/>
      <c r="I89" s="862"/>
      <c r="J89" s="862"/>
      <c r="K89" s="862"/>
      <c r="L89" s="862"/>
      <c r="M89" s="862"/>
      <c r="N89" s="873">
        <f>COUNTIF(N13:N18,"&gt;0")+COUNTIF(N20:N23,"&gt;0")+COUNTIF(N29:N32,"&gt;0")+COUNTIF(N34:N35,"&gt;0")+COUNTIF(N38:N45,"&gt;0")+DCOUNT(A10:CO63,"21",A100:B101)+COUNTIF(N66:N70,"&gt;0")</f>
        <v>29</v>
      </c>
      <c r="O89" s="874"/>
      <c r="P89" s="874"/>
      <c r="Q89" s="874"/>
      <c r="R89" s="874"/>
      <c r="S89" s="874"/>
      <c r="T89" s="874"/>
      <c r="U89" s="874"/>
      <c r="V89" s="875">
        <f>COUNTIF(V13:V18,"&gt;0")+COUNTIF(V20:V23,"&gt;0")+COUNTIF(V29:V32,"&gt;0")+COUNTIF(V34:V35,"&gt;0")+COUNTIF(V38:V45,"&gt;0")+DCOUNT(A10:CO63,"21",A102:B103)+COUNTIF(V66:V70,"&gt;0")</f>
        <v>10</v>
      </c>
      <c r="W89" s="876"/>
      <c r="X89" s="876"/>
      <c r="Y89" s="876"/>
      <c r="Z89" s="876"/>
      <c r="AA89" s="876"/>
      <c r="AB89" s="877"/>
      <c r="AC89" s="876">
        <f>COUNTIF(AC13:AC18,"&gt;0")+COUNTIF(AC20:AC23,"&gt;0")+COUNTIF(AC29:AC32,"&gt;0")+COUNTIF(AC34:AC35,"&gt;0")+COUNTIF(AC38:AC45,"&gt;0")+DCOUNT(A10:CO63,"21",A104:B105)+COUNTIF(AC66:AC70,"&gt;0")</f>
        <v>9</v>
      </c>
      <c r="AD89" s="876"/>
      <c r="AE89" s="876"/>
      <c r="AF89" s="876"/>
      <c r="AG89" s="876"/>
      <c r="AH89" s="876"/>
      <c r="AI89" s="876"/>
      <c r="AJ89" s="875">
        <f>COUNTIF(AJ13:AJ18,"&gt;0")+COUNTIF(AJ20:AJ23,"&gt;0")+COUNTIF(AJ29:AJ32,"&gt;0")+COUNTIF(AJ34:AJ35,"&gt;0")+COUNTIF(AJ38:AJ45,"&gt;0")+DCOUNT(A10:CO63,"21",A106:B107)+COUNTIF(AJ66:AJ70,"&gt;0")</f>
        <v>10</v>
      </c>
      <c r="AK89" s="876"/>
      <c r="AL89" s="876"/>
      <c r="AM89" s="876"/>
      <c r="AN89" s="876"/>
      <c r="AO89" s="876"/>
      <c r="AP89" s="877"/>
      <c r="AQ89" s="876">
        <f>COUNTIF(AQ13:AQ18,"&gt;0")+COUNTIF(AQ20:AQ23,"&gt;0")+COUNTIF(AQ29:AQ32,"&gt;0")+COUNTIF(AQ34:AQ35,"&gt;0")+COUNTIF(AQ38:AQ45,"&gt;0")+DCOUNT(A10:CO63,"21",A108:B109)+COUNTIF(AQ66:AQ70,"&gt;0")</f>
        <v>8</v>
      </c>
      <c r="AR89" s="876"/>
      <c r="AS89" s="876"/>
      <c r="AT89" s="876"/>
      <c r="AU89" s="876"/>
      <c r="AV89" s="876"/>
      <c r="AW89" s="876"/>
      <c r="AX89" s="875">
        <f>COUNTIF(AX13:AX18,"&gt;0")+COUNTIF(AX20:AX23,"&gt;0")+COUNTIF(AX29:AX32,"&gt;0")+COUNTIF(AX34:AX35,"&gt;0")+COUNTIF(AX38:AX45,"&gt;0")+DCOUNT(A10:CO63,"21",A110:B111)+COUNTIF(AX66:AX70,"&gt;0")</f>
        <v>8</v>
      </c>
      <c r="AY89" s="876"/>
      <c r="AZ89" s="876"/>
      <c r="BA89" s="876"/>
      <c r="BB89" s="876"/>
      <c r="BC89" s="876"/>
      <c r="BD89" s="877"/>
      <c r="BE89" s="876">
        <f>COUNTIF(BE13:BE18,"&gt;0")+COUNTIF(BE20:BE23,"&gt;0")+COUNTIF(BE29:BE32,"&gt;0")+COUNTIF(BE34:BE35,"&gt;0")+COUNTIF(BE38:BE45,"&gt;0")+DCOUNT(A10:CO63,"21",A112:B113)+COUNTIF(BE66:BE70,"&gt;0")</f>
        <v>5</v>
      </c>
      <c r="BF89" s="876"/>
      <c r="BG89" s="876"/>
      <c r="BH89" s="876"/>
      <c r="BI89" s="876"/>
      <c r="BJ89" s="876"/>
      <c r="BK89" s="876"/>
      <c r="BL89" s="875">
        <f>COUNTIF(BL13:BL18,"&gt;0")+COUNTIF(BL20:BL23,"&gt;0")+COUNTIF(BL29:BL32,"&gt;0")+COUNTIF(BL34:BL35,"&gt;0")+COUNTIF(BL38:BL45,"&gt;0")+DCOUNT(A10:CO63,"21",A114:B115)+COUNTIF(BL66:BL70,"&gt;0")</f>
        <v>2</v>
      </c>
      <c r="BM89" s="876"/>
      <c r="BN89" s="876"/>
      <c r="BO89" s="876"/>
      <c r="BP89" s="876"/>
      <c r="BQ89" s="876"/>
      <c r="BR89" s="877"/>
      <c r="BS89" s="875">
        <f>COUNTIF(BS13:BS18,"&gt;0")+COUNTIF(BS20:BS23,"&gt;0")+COUNTIF(BS29:BS32,"&gt;0")+COUNTIF(BS34:BS35,"&gt;0")+COUNTIF(BS38:BS45,"&gt;0")+DCOUNT(A10:CO63,"21",A116:B117)+COUNTIF(BS66:BS70,"&gt;0")</f>
        <v>2</v>
      </c>
      <c r="BT89" s="876"/>
      <c r="BU89" s="876"/>
      <c r="BV89" s="876"/>
      <c r="BW89" s="876"/>
      <c r="BX89" s="876"/>
      <c r="BY89" s="877"/>
      <c r="BZ89" s="878">
        <f>COUNTIF(BZ13:BZ18,"&gt;0")+COUNTIF(BZ20:BZ23,"&gt;0")+COUNTIF(BZ29:BZ32,"&gt;0")+COUNTIF(BZ34:BZ35,"&gt;0")+COUNTIF(BZ38:BZ45,"&gt;0")+DCOUNT(A10:CO63,"21",A118:B119)+COUNTIF(BZ66:BZ70,"&gt;0")</f>
        <v>0</v>
      </c>
      <c r="CA89" s="876"/>
      <c r="CB89" s="876"/>
      <c r="CC89" s="876"/>
      <c r="CD89" s="876"/>
      <c r="CE89" s="876"/>
      <c r="CF89" s="876"/>
      <c r="CG89" s="879"/>
      <c r="CH89" s="878">
        <f>COUNTIF(CH13:CH18,"&gt;0")+COUNTIF(CH20:CH23,"&gt;0")+COUNTIF(CH29:CH32,"&gt;0")+COUNTIF(CH34:CH35,"&gt;0")+COUNTIF(CH38:CH45,"&gt;0")+DCOUNT(A10:CO63,"21",A120:B121)+COUNTIF(CH66:CH70,"&gt;0")</f>
        <v>0</v>
      </c>
      <c r="CI89" s="876"/>
      <c r="CJ89" s="876"/>
      <c r="CK89" s="876"/>
      <c r="CL89" s="876"/>
      <c r="CM89" s="876"/>
      <c r="CN89" s="876"/>
      <c r="CO89" s="880"/>
      <c r="CP89" s="853"/>
      <c r="CQ89" s="853"/>
      <c r="CR89" s="854"/>
      <c r="CS89" s="855"/>
      <c r="CT89" s="855"/>
    </row>
    <row r="90" spans="1:98" s="386" customFormat="1" ht="15" customHeight="1">
      <c r="A90" s="869"/>
      <c r="B90" s="861" t="s">
        <v>73</v>
      </c>
      <c r="C90" s="862"/>
      <c r="D90" s="862"/>
      <c r="E90" s="862"/>
      <c r="F90" s="862"/>
      <c r="G90" s="862"/>
      <c r="H90" s="862"/>
      <c r="I90" s="862"/>
      <c r="J90" s="862"/>
      <c r="K90" s="862"/>
      <c r="L90" s="862"/>
      <c r="M90" s="862"/>
      <c r="N90" s="881">
        <f>COUNTIF(N73:N73,"&gt;0")+COUNTIF(N75:N76,"&gt;0")</f>
        <v>0</v>
      </c>
      <c r="O90" s="882"/>
      <c r="P90" s="882"/>
      <c r="Q90" s="882"/>
      <c r="R90" s="882"/>
      <c r="S90" s="882"/>
      <c r="T90" s="882"/>
      <c r="U90" s="883"/>
      <c r="V90" s="884">
        <f>COUNTIF(V73:V73,"&gt;0")+COUNTIF(V75:V76,"&gt;0")</f>
        <v>0</v>
      </c>
      <c r="W90" s="885"/>
      <c r="X90" s="885"/>
      <c r="Y90" s="885"/>
      <c r="Z90" s="885"/>
      <c r="AA90" s="885"/>
      <c r="AB90" s="886"/>
      <c r="AC90" s="880">
        <f>COUNTIF(AC73:AC73,"&gt;0")+COUNTIF(AC75:AC76,"&gt;0")</f>
        <v>0</v>
      </c>
      <c r="AD90" s="885"/>
      <c r="AE90" s="885"/>
      <c r="AF90" s="885"/>
      <c r="AG90" s="885"/>
      <c r="AH90" s="885"/>
      <c r="AI90" s="878"/>
      <c r="AJ90" s="884">
        <f>COUNTIF(AJ73:AJ73,"&gt;0")+COUNTIF(AJ75:AJ76,"&gt;0")</f>
        <v>0</v>
      </c>
      <c r="AK90" s="885"/>
      <c r="AL90" s="885"/>
      <c r="AM90" s="885"/>
      <c r="AN90" s="885"/>
      <c r="AO90" s="885"/>
      <c r="AP90" s="886"/>
      <c r="AQ90" s="880">
        <f>COUNTIF(AQ73:AQ73,"&gt;0")+COUNTIF(AQ75:AQ76,"&gt;0")</f>
        <v>1</v>
      </c>
      <c r="AR90" s="885"/>
      <c r="AS90" s="885"/>
      <c r="AT90" s="885"/>
      <c r="AU90" s="885"/>
      <c r="AV90" s="885"/>
      <c r="AW90" s="878"/>
      <c r="AX90" s="884">
        <f>COUNTIF(AX73:AX73,"&gt;0")+COUNTIF(AX75:AX76,"&gt;0")</f>
        <v>0</v>
      </c>
      <c r="AY90" s="885"/>
      <c r="AZ90" s="885"/>
      <c r="BA90" s="885"/>
      <c r="BB90" s="885"/>
      <c r="BC90" s="885"/>
      <c r="BD90" s="886"/>
      <c r="BE90" s="880">
        <f>COUNTIF(BE73:BE73,"&gt;0")+COUNTIF(BE75:BE76,"&gt;0")</f>
        <v>1</v>
      </c>
      <c r="BF90" s="885"/>
      <c r="BG90" s="885"/>
      <c r="BH90" s="885"/>
      <c r="BI90" s="885"/>
      <c r="BJ90" s="885"/>
      <c r="BK90" s="878"/>
      <c r="BL90" s="884">
        <f>COUNTIF(BL73:BL73,"&gt;0")+COUNTIF(BL75:BL76,"&gt;0")</f>
        <v>1</v>
      </c>
      <c r="BM90" s="885"/>
      <c r="BN90" s="885"/>
      <c r="BO90" s="885"/>
      <c r="BP90" s="885"/>
      <c r="BQ90" s="885"/>
      <c r="BR90" s="886"/>
      <c r="BS90" s="884">
        <f>COUNTIF(BS73:BS73,"&gt;0")+COUNTIF(BS75:BS76,"&gt;0")</f>
        <v>1</v>
      </c>
      <c r="BT90" s="885"/>
      <c r="BU90" s="885"/>
      <c r="BV90" s="885"/>
      <c r="BW90" s="885"/>
      <c r="BX90" s="885"/>
      <c r="BY90" s="886"/>
      <c r="BZ90" s="878">
        <f>COUNTIF(BZ73:BZ73,"&gt;0")+COUNTIF(BZ75:BZ76,"&gt;0")</f>
        <v>0</v>
      </c>
      <c r="CA90" s="876"/>
      <c r="CB90" s="876"/>
      <c r="CC90" s="876"/>
      <c r="CD90" s="876"/>
      <c r="CE90" s="876"/>
      <c r="CF90" s="876"/>
      <c r="CG90" s="879"/>
      <c r="CH90" s="878">
        <f>COUNTIF(CH73:CH73,"&gt;0")+COUNTIF(CH75:CH76,"&gt;0")</f>
        <v>0</v>
      </c>
      <c r="CI90" s="876"/>
      <c r="CJ90" s="876"/>
      <c r="CK90" s="876"/>
      <c r="CL90" s="876"/>
      <c r="CM90" s="876"/>
      <c r="CN90" s="876"/>
      <c r="CO90" s="880"/>
      <c r="CP90" s="853"/>
      <c r="CQ90" s="853"/>
      <c r="CR90" s="854"/>
      <c r="CS90" s="855"/>
      <c r="CT90" s="855"/>
    </row>
    <row r="91" spans="1:98" s="386" customFormat="1" ht="15" customHeight="1">
      <c r="A91" s="887"/>
      <c r="B91" s="861" t="s">
        <v>470</v>
      </c>
      <c r="C91" s="862"/>
      <c r="D91" s="862"/>
      <c r="E91" s="862"/>
      <c r="F91" s="862"/>
      <c r="G91" s="862"/>
      <c r="H91" s="862"/>
      <c r="I91" s="862"/>
      <c r="J91" s="862"/>
      <c r="K91" s="862"/>
      <c r="L91" s="862"/>
      <c r="M91" s="862"/>
      <c r="N91" s="888">
        <f>N84/(Y5+AH5+AO5+AV5+BC5+BJ5+BQ5+BX5)</f>
        <v>54</v>
      </c>
      <c r="O91" s="889"/>
      <c r="P91" s="889"/>
      <c r="Q91" s="889"/>
      <c r="R91" s="889"/>
      <c r="S91" s="889"/>
      <c r="T91" s="889"/>
      <c r="U91" s="890"/>
      <c r="V91" s="891">
        <f>V84/Y5</f>
        <v>54</v>
      </c>
      <c r="W91" s="892"/>
      <c r="X91" s="892"/>
      <c r="Y91" s="892"/>
      <c r="Z91" s="892"/>
      <c r="AA91" s="892"/>
      <c r="AB91" s="893"/>
      <c r="AC91" s="894">
        <f>AC84/AH5</f>
        <v>54</v>
      </c>
      <c r="AD91" s="895"/>
      <c r="AE91" s="895"/>
      <c r="AF91" s="895"/>
      <c r="AG91" s="895"/>
      <c r="AH91" s="895"/>
      <c r="AI91" s="896"/>
      <c r="AJ91" s="897">
        <f>AJ84/AO5</f>
        <v>54</v>
      </c>
      <c r="AK91" s="895"/>
      <c r="AL91" s="895"/>
      <c r="AM91" s="895"/>
      <c r="AN91" s="895"/>
      <c r="AO91" s="895"/>
      <c r="AP91" s="898"/>
      <c r="AQ91" s="894">
        <f>AQ84/AV5</f>
        <v>54</v>
      </c>
      <c r="AR91" s="895"/>
      <c r="AS91" s="895"/>
      <c r="AT91" s="895"/>
      <c r="AU91" s="895"/>
      <c r="AV91" s="895"/>
      <c r="AW91" s="896"/>
      <c r="AX91" s="897">
        <f>AX84/BC5</f>
        <v>54</v>
      </c>
      <c r="AY91" s="895"/>
      <c r="AZ91" s="895"/>
      <c r="BA91" s="895"/>
      <c r="BB91" s="895"/>
      <c r="BC91" s="895"/>
      <c r="BD91" s="898"/>
      <c r="BE91" s="894">
        <f>BE84/BJ5</f>
        <v>54</v>
      </c>
      <c r="BF91" s="895"/>
      <c r="BG91" s="895"/>
      <c r="BH91" s="895"/>
      <c r="BI91" s="895"/>
      <c r="BJ91" s="895"/>
      <c r="BK91" s="896"/>
      <c r="BL91" s="897">
        <f>BL84/BQ5</f>
        <v>54</v>
      </c>
      <c r="BM91" s="895"/>
      <c r="BN91" s="895"/>
      <c r="BO91" s="895"/>
      <c r="BP91" s="895"/>
      <c r="BQ91" s="895"/>
      <c r="BR91" s="898"/>
      <c r="BS91" s="897">
        <f>BS84/BX5</f>
        <v>54</v>
      </c>
      <c r="BT91" s="895"/>
      <c r="BU91" s="895"/>
      <c r="BV91" s="895"/>
      <c r="BW91" s="895"/>
      <c r="BX91" s="895"/>
      <c r="BY91" s="898"/>
      <c r="BZ91" s="899">
        <f>IF(AND(CE5=0,CF7=0,CF8=0),0,IF(BZ88=0,0,BZ88/(CE5+CF7+CF8)))</f>
        <v>0</v>
      </c>
      <c r="CA91" s="900"/>
      <c r="CB91" s="900"/>
      <c r="CC91" s="900"/>
      <c r="CD91" s="900"/>
      <c r="CE91" s="900"/>
      <c r="CF91" s="900"/>
      <c r="CG91" s="901"/>
      <c r="CH91" s="899">
        <f>IF(AND(CM5=0,CN7=0,CN8=0),0,IF(CH88=0,0,CH88/(CM5+CN7+CN8)))</f>
        <v>0</v>
      </c>
      <c r="CI91" s="900"/>
      <c r="CJ91" s="900"/>
      <c r="CK91" s="900"/>
      <c r="CL91" s="900"/>
      <c r="CM91" s="900"/>
      <c r="CN91" s="900"/>
      <c r="CO91" s="900"/>
      <c r="CP91" s="853"/>
      <c r="CQ91" s="853"/>
      <c r="CR91" s="854"/>
      <c r="CS91" s="855"/>
      <c r="CT91" s="855"/>
    </row>
    <row r="92" spans="1:98" s="386" customFormat="1" ht="15" customHeight="1">
      <c r="A92" s="902"/>
      <c r="B92" s="861" t="s">
        <v>174</v>
      </c>
      <c r="C92" s="862"/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88">
        <f>IF('Титульный лист (очная)'!BD30=0,0,IF(O84=0,0,O84/(Y5+AH5+AO5+AV5+BC5+BJ5+BQ5+BX5+CE5+CM5)))</f>
        <v>36</v>
      </c>
      <c r="O92" s="889"/>
      <c r="P92" s="889"/>
      <c r="Q92" s="889"/>
      <c r="R92" s="889"/>
      <c r="S92" s="889"/>
      <c r="T92" s="889"/>
      <c r="U92" s="890"/>
      <c r="V92" s="891">
        <f>IF(Y5=0,0,IF(SUM(W84:AA84)=0,0,SUM(W84:AA84)/Y5))</f>
        <v>36</v>
      </c>
      <c r="W92" s="892"/>
      <c r="X92" s="892"/>
      <c r="Y92" s="892"/>
      <c r="Z92" s="892"/>
      <c r="AA92" s="892"/>
      <c r="AB92" s="893"/>
      <c r="AC92" s="894">
        <f>IF(AH5=0,0,IF(SUM(AD84:AH84)=0,0,SUM(AD84:AH84)/AH5))</f>
        <v>36</v>
      </c>
      <c r="AD92" s="895"/>
      <c r="AE92" s="895"/>
      <c r="AF92" s="895"/>
      <c r="AG92" s="895"/>
      <c r="AH92" s="895"/>
      <c r="AI92" s="896"/>
      <c r="AJ92" s="897">
        <f>IF(AO5=0,0,IF(SUM(AK84:AM84)=0,0,SUM(AK84:AO84)/AO5))</f>
        <v>36</v>
      </c>
      <c r="AK92" s="895"/>
      <c r="AL92" s="895"/>
      <c r="AM92" s="895"/>
      <c r="AN92" s="895"/>
      <c r="AO92" s="895"/>
      <c r="AP92" s="898"/>
      <c r="AQ92" s="894">
        <f>IF(AV5=0,0,IF(SUM(AR84:AT84)=0,0,SUM(AR84:AV84)/AV5))</f>
        <v>36</v>
      </c>
      <c r="AR92" s="895"/>
      <c r="AS92" s="895"/>
      <c r="AT92" s="895"/>
      <c r="AU92" s="895"/>
      <c r="AV92" s="895"/>
      <c r="AW92" s="896"/>
      <c r="AX92" s="897">
        <f>IF(BC5=0,0,IF(SUM(AY84:BA84)=0,0,SUM(AY84:BC84)/BC5))</f>
        <v>36</v>
      </c>
      <c r="AY92" s="895"/>
      <c r="AZ92" s="895"/>
      <c r="BA92" s="895"/>
      <c r="BB92" s="895"/>
      <c r="BC92" s="895"/>
      <c r="BD92" s="898"/>
      <c r="BE92" s="894">
        <f>IF(BJ5=0,0,IF(SUM(BF84:BH84)=0,0,SUM(BF84:BJ84)/BJ5))</f>
        <v>36</v>
      </c>
      <c r="BF92" s="895"/>
      <c r="BG92" s="895"/>
      <c r="BH92" s="895"/>
      <c r="BI92" s="895"/>
      <c r="BJ92" s="895"/>
      <c r="BK92" s="896"/>
      <c r="BL92" s="897">
        <f>IF(BQ5=0,0,IF(SUM(BM84:BO84)=0,0,SUM(BM84:BQ84)/BQ5))</f>
        <v>36</v>
      </c>
      <c r="BM92" s="895"/>
      <c r="BN92" s="895"/>
      <c r="BO92" s="895"/>
      <c r="BP92" s="895"/>
      <c r="BQ92" s="895"/>
      <c r="BR92" s="898"/>
      <c r="BS92" s="897">
        <f>IF(BX5=0,0,IF(SUM(BT84:BV84)=0,0,SUM(BT84:BX84)/BX5))</f>
        <v>36</v>
      </c>
      <c r="BT92" s="895"/>
      <c r="BU92" s="895"/>
      <c r="BV92" s="895"/>
      <c r="BW92" s="895"/>
      <c r="BX92" s="895"/>
      <c r="BY92" s="898"/>
      <c r="BZ92" s="899">
        <f>IF(CE5=0,0,IF(SUM(CA84:CE84)=0,0,SUM(CA84:CE84)/CE5))</f>
        <v>0</v>
      </c>
      <c r="CA92" s="900"/>
      <c r="CB92" s="900"/>
      <c r="CC92" s="900"/>
      <c r="CD92" s="900"/>
      <c r="CE92" s="900"/>
      <c r="CF92" s="900"/>
      <c r="CG92" s="901"/>
      <c r="CH92" s="899">
        <f>IF(CM5=0,0,IF(SUM(CI84:CM84)=0,0,SUM(CI84:CM84)/CM5))</f>
        <v>0</v>
      </c>
      <c r="CI92" s="900"/>
      <c r="CJ92" s="900"/>
      <c r="CK92" s="900"/>
      <c r="CL92" s="900"/>
      <c r="CM92" s="900"/>
      <c r="CN92" s="900"/>
      <c r="CO92" s="900"/>
      <c r="CP92" s="853"/>
      <c r="CQ92" s="853"/>
      <c r="CR92" s="854"/>
      <c r="CS92" s="855"/>
      <c r="CT92" s="855"/>
    </row>
    <row r="93" spans="1:98" s="386" customFormat="1" ht="15" customHeight="1">
      <c r="A93" s="902"/>
      <c r="B93" s="861" t="s">
        <v>173</v>
      </c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903">
        <f>V93+AC93+AJ93+AQ93+AX93+BE93+BL93+BS93+BZ93+CH93</f>
        <v>13</v>
      </c>
      <c r="O93" s="904"/>
      <c r="P93" s="904" t="s">
        <v>200</v>
      </c>
      <c r="Q93" s="904"/>
      <c r="R93" s="904"/>
      <c r="S93" s="874"/>
      <c r="T93" s="904">
        <f>AA93+AH93+AO93+AV93+BC93+BJ93+BQ93+BX93+CE93+CM93</f>
        <v>14</v>
      </c>
      <c r="U93" s="904"/>
      <c r="V93" s="875">
        <f>COUNTIF($D$11:$D$70,"*1*")</f>
        <v>2</v>
      </c>
      <c r="W93" s="876"/>
      <c r="X93" s="876" t="s">
        <v>200</v>
      </c>
      <c r="Y93" s="876"/>
      <c r="Z93" s="905"/>
      <c r="AA93" s="876">
        <f>COUNTIF($D$11:$D$70,"*1*")-DCOUNTA($A$10:$I$70,"5",E100:F101)</f>
        <v>2</v>
      </c>
      <c r="AB93" s="877"/>
      <c r="AC93" s="876">
        <f>COUNTIF($D$11:$D$70,"*2*")</f>
        <v>2</v>
      </c>
      <c r="AD93" s="876"/>
      <c r="AE93" s="876" t="s">
        <v>200</v>
      </c>
      <c r="AF93" s="876"/>
      <c r="AG93" s="905"/>
      <c r="AH93" s="876">
        <f>COUNTIF($D$11:$D$70,"*2*")-DCOUNTA($A$10:$I$70,"5",E102:F103)</f>
        <v>2</v>
      </c>
      <c r="AI93" s="876"/>
      <c r="AJ93" s="875">
        <f>COUNTIF($D$11:$D$70,"*3*")</f>
        <v>2</v>
      </c>
      <c r="AK93" s="876"/>
      <c r="AL93" s="876" t="s">
        <v>200</v>
      </c>
      <c r="AM93" s="876"/>
      <c r="AN93" s="905"/>
      <c r="AO93" s="876">
        <f>COUNTIF($D$11:$D$70,"*3*")-DCOUNTA($A$10:$I$70,"5",E104:F105)</f>
        <v>2</v>
      </c>
      <c r="AP93" s="877"/>
      <c r="AQ93" s="876">
        <f>COUNTIF($D$11:$D$70,"*4*")</f>
        <v>1</v>
      </c>
      <c r="AR93" s="876"/>
      <c r="AS93" s="876" t="s">
        <v>200</v>
      </c>
      <c r="AT93" s="876"/>
      <c r="AU93" s="905"/>
      <c r="AV93" s="876">
        <f>COUNTIF($D$11:$D$71,"*4*")-DCOUNTA($A$10:$I$71,"5",E106:F107)</f>
        <v>2</v>
      </c>
      <c r="AW93" s="876"/>
      <c r="AX93" s="875">
        <f>COUNTIF($D$11:$D$70,"*5*")</f>
        <v>0</v>
      </c>
      <c r="AY93" s="876"/>
      <c r="AZ93" s="876" t="s">
        <v>200</v>
      </c>
      <c r="BA93" s="876"/>
      <c r="BB93" s="905"/>
      <c r="BC93" s="876">
        <f>COUNTIF($D$11:$D$70,"*5*")-DCOUNTA($A$10:$I$70,"5",E108:F109)</f>
        <v>0</v>
      </c>
      <c r="BD93" s="877"/>
      <c r="BE93" s="876">
        <f>COUNTIF($D$11:$D$70,"*6*")</f>
        <v>2</v>
      </c>
      <c r="BF93" s="876"/>
      <c r="BG93" s="876" t="s">
        <v>200</v>
      </c>
      <c r="BH93" s="876"/>
      <c r="BI93" s="905"/>
      <c r="BJ93" s="876">
        <f>COUNTIF($D$11:$D$70,"*6*")-DCOUNTA($A$10:$I$70,"5",E110:F111)</f>
        <v>2</v>
      </c>
      <c r="BK93" s="876"/>
      <c r="BL93" s="875">
        <f>COUNTIF($D$11:$D$70,"*7*")</f>
        <v>0</v>
      </c>
      <c r="BM93" s="876"/>
      <c r="BN93" s="876" t="s">
        <v>200</v>
      </c>
      <c r="BO93" s="876"/>
      <c r="BP93" s="905"/>
      <c r="BQ93" s="876">
        <f>COUNTIF($D$11:$D$70,"*7*")-DCOUNTA($A$10:$I$70,"5",E112:F113)</f>
        <v>0</v>
      </c>
      <c r="BR93" s="877"/>
      <c r="BS93" s="906">
        <f>COUNTIF($D$11:$D$71,"*8*")</f>
        <v>4</v>
      </c>
      <c r="BT93" s="905"/>
      <c r="BU93" s="876" t="s">
        <v>200</v>
      </c>
      <c r="BV93" s="876"/>
      <c r="BW93" s="905"/>
      <c r="BX93" s="876">
        <f>COUNTIF($D$11:$D$76,"*8*")-DCOUNTA($A$10:$I$70,"7",E114:F115)</f>
        <v>4</v>
      </c>
      <c r="BY93" s="877"/>
      <c r="BZ93" s="878">
        <f>COUNTIF($D$11:$D$70,"*9*")</f>
        <v>0</v>
      </c>
      <c r="CA93" s="876"/>
      <c r="CB93" s="876"/>
      <c r="CC93" s="876" t="s">
        <v>200</v>
      </c>
      <c r="CD93" s="876"/>
      <c r="CE93" s="876">
        <f>COUNTIF($D$11:$D$70,"*9*")-DCOUNTA($A$10:$I$70,"5",E116:F117)</f>
        <v>0</v>
      </c>
      <c r="CF93" s="876"/>
      <c r="CG93" s="879"/>
      <c r="CH93" s="878">
        <f>COUNTIF($D$11:$D$70,"*{*")</f>
        <v>0</v>
      </c>
      <c r="CI93" s="876"/>
      <c r="CJ93" s="876"/>
      <c r="CK93" s="876" t="s">
        <v>200</v>
      </c>
      <c r="CL93" s="876"/>
      <c r="CM93" s="876">
        <f>COUNTIF($D$11:$D$70,"*{*")-DCOUNTA($A$10:$I$70,"5",E118:F119)</f>
        <v>0</v>
      </c>
      <c r="CN93" s="876"/>
      <c r="CO93" s="879"/>
      <c r="CP93" s="853"/>
      <c r="CQ93" s="853"/>
      <c r="CR93" s="854"/>
      <c r="CS93" s="855"/>
      <c r="CT93" s="855"/>
    </row>
    <row r="94" spans="1:98" s="386" customFormat="1" ht="15" customHeight="1">
      <c r="A94" s="869"/>
      <c r="B94" s="861" t="s">
        <v>172</v>
      </c>
      <c r="C94" s="862"/>
      <c r="D94" s="862"/>
      <c r="E94" s="862"/>
      <c r="F94" s="862"/>
      <c r="G94" s="862"/>
      <c r="H94" s="862"/>
      <c r="I94" s="862"/>
      <c r="J94" s="862"/>
      <c r="K94" s="862"/>
      <c r="L94" s="862"/>
      <c r="M94" s="862"/>
      <c r="N94" s="903">
        <f>V94+AC94+AJ94+AQ94+AX94+BE94+BL94+BS94+BZ94+CH94</f>
        <v>48</v>
      </c>
      <c r="O94" s="904"/>
      <c r="P94" s="904" t="s">
        <v>200</v>
      </c>
      <c r="Q94" s="904"/>
      <c r="R94" s="904"/>
      <c r="S94" s="874"/>
      <c r="T94" s="904">
        <f>AA94+AH94+AO94+AV94+BC94+BJ94+BQ94+BX94+CE94+CM94</f>
        <v>40</v>
      </c>
      <c r="U94" s="904"/>
      <c r="V94" s="875">
        <f>COUNTIF($E$11:$F$76,"*1*")</f>
        <v>3</v>
      </c>
      <c r="W94" s="876"/>
      <c r="X94" s="876" t="s">
        <v>200</v>
      </c>
      <c r="Y94" s="876"/>
      <c r="Z94" s="905"/>
      <c r="AA94" s="876">
        <f>COUNTIF($E$11:$F$76,"*1*")-DCOUNTA($A$10:$I$71,"5",C100:D119)</f>
        <v>2</v>
      </c>
      <c r="AB94" s="877"/>
      <c r="AC94" s="876">
        <f>COUNTIF($E$11:$F$71,"*2*")</f>
        <v>9</v>
      </c>
      <c r="AD94" s="876"/>
      <c r="AE94" s="876" t="s">
        <v>200</v>
      </c>
      <c r="AF94" s="876"/>
      <c r="AG94" s="905"/>
      <c r="AH94" s="876">
        <f>COUNTIF($E$11:$F$76,"*2*")-DCOUNTA($A$10:$I$71,"5",C100:D119)</f>
        <v>8</v>
      </c>
      <c r="AI94" s="877"/>
      <c r="AJ94" s="875">
        <f>COUNTIF($E$11:$F$71,"*3*")</f>
        <v>5</v>
      </c>
      <c r="AK94" s="876"/>
      <c r="AL94" s="876" t="s">
        <v>200</v>
      </c>
      <c r="AM94" s="876"/>
      <c r="AN94" s="905"/>
      <c r="AO94" s="876">
        <f>COUNTIF($E$11:$F$76,"*3*")-DCOUNTA($A$10:$I$76,"6",E100:F119)</f>
        <v>4</v>
      </c>
      <c r="AP94" s="877"/>
      <c r="AQ94" s="876">
        <f>COUNTIF($E$11:$F$76,"*4*")</f>
        <v>7</v>
      </c>
      <c r="AR94" s="876"/>
      <c r="AS94" s="876" t="s">
        <v>200</v>
      </c>
      <c r="AT94" s="876"/>
      <c r="AU94" s="905"/>
      <c r="AV94" s="876">
        <f>COUNTIF($E$11:$F$76,"*4*")-DCOUNTA($A$10:$I$76,"6",$E$100:$F$119)</f>
        <v>6</v>
      </c>
      <c r="AW94" s="877"/>
      <c r="AX94" s="875">
        <f>COUNTIF($E$11:$F$76,"*5*")</f>
        <v>6</v>
      </c>
      <c r="AY94" s="876"/>
      <c r="AZ94" s="876" t="s">
        <v>200</v>
      </c>
      <c r="BA94" s="876"/>
      <c r="BB94" s="905"/>
      <c r="BC94" s="876">
        <f>COUNTIF($E$11:$F$76,"*5*")-DCOUNTA($A$10:$I$76,"6",$E$100:$F$119)</f>
        <v>5</v>
      </c>
      <c r="BD94" s="877"/>
      <c r="BE94" s="876">
        <f>COUNTIF($E$11:$F$76,"*6*")</f>
        <v>6</v>
      </c>
      <c r="BF94" s="876"/>
      <c r="BG94" s="876" t="s">
        <v>200</v>
      </c>
      <c r="BH94" s="876"/>
      <c r="BI94" s="905"/>
      <c r="BJ94" s="876">
        <f>COUNTIF($E$11:$F$76,"*6*")-DCOUNTA($A$10:$I$76,"6",$E$100:$F$119)</f>
        <v>5</v>
      </c>
      <c r="BK94" s="877"/>
      <c r="BL94" s="876">
        <f>COUNTIF($E$11:$F$76,"*7*")</f>
        <v>3</v>
      </c>
      <c r="BM94" s="876"/>
      <c r="BN94" s="876" t="s">
        <v>200</v>
      </c>
      <c r="BO94" s="876"/>
      <c r="BP94" s="905"/>
      <c r="BQ94" s="876">
        <f>COUNTIF($E$11:$F$76,"*7*")-DCOUNTA($A$10:$I$76,"6",$E$100:$F$119)</f>
        <v>2</v>
      </c>
      <c r="BR94" s="877"/>
      <c r="BS94" s="876">
        <f>COUNTIF($E$13:$F$76,"*8*")</f>
        <v>9</v>
      </c>
      <c r="BT94" s="876"/>
      <c r="BU94" s="876" t="s">
        <v>200</v>
      </c>
      <c r="BV94" s="876"/>
      <c r="BW94" s="905"/>
      <c r="BX94" s="876">
        <f>COUNTIF($E$11:$F$76,"*8*")-DCOUNTA($A$10:$I$76,"6",$E$100:$F$119)</f>
        <v>8</v>
      </c>
      <c r="BY94" s="877"/>
      <c r="BZ94" s="878">
        <f>COUNTIF($E$11:$E$70,"*9*")</f>
        <v>0</v>
      </c>
      <c r="CA94" s="876"/>
      <c r="CB94" s="876"/>
      <c r="CC94" s="876" t="s">
        <v>200</v>
      </c>
      <c r="CD94" s="876"/>
      <c r="CE94" s="876">
        <f>COUNTIF($E$11:$E$70,"*9*")-DCOUNTA($A$10:$I$70,"5",C116:D117)</f>
        <v>0</v>
      </c>
      <c r="CF94" s="876"/>
      <c r="CG94" s="879"/>
      <c r="CH94" s="878">
        <f>COUNTIF($E$11:$E$70,"*{*")</f>
        <v>0</v>
      </c>
      <c r="CI94" s="876"/>
      <c r="CJ94" s="876"/>
      <c r="CK94" s="876" t="s">
        <v>200</v>
      </c>
      <c r="CL94" s="876"/>
      <c r="CM94" s="876">
        <f>COUNTIF($E$11:$E$70,"*{*")-DCOUNTA($A$10:$I$70,"5",C118:D119)</f>
        <v>0</v>
      </c>
      <c r="CN94" s="876"/>
      <c r="CO94" s="879"/>
      <c r="CP94" s="853"/>
      <c r="CQ94" s="853"/>
      <c r="CR94" s="854"/>
      <c r="CS94" s="855"/>
      <c r="CT94" s="855"/>
    </row>
    <row r="95" spans="1:98" s="386" customFormat="1" ht="15" customHeight="1">
      <c r="A95" s="869"/>
      <c r="B95" s="861" t="s">
        <v>458</v>
      </c>
      <c r="C95" s="862"/>
      <c r="D95" s="862"/>
      <c r="E95" s="862"/>
      <c r="F95" s="862"/>
      <c r="G95" s="862"/>
      <c r="H95" s="862"/>
      <c r="I95" s="862"/>
      <c r="J95" s="862"/>
      <c r="K95" s="862"/>
      <c r="L95" s="862"/>
      <c r="M95" s="862"/>
      <c r="N95" s="903">
        <f>V95+AC95+AJ95+AQ95+AX95+BE95+BL95+BS95+BZ95+CH95</f>
        <v>3</v>
      </c>
      <c r="O95" s="904"/>
      <c r="P95" s="904"/>
      <c r="Q95" s="904"/>
      <c r="R95" s="904"/>
      <c r="S95" s="904"/>
      <c r="T95" s="904"/>
      <c r="U95" s="904"/>
      <c r="V95" s="875">
        <f>COUNTIF($H$11:$H$70,"*1*")</f>
        <v>0</v>
      </c>
      <c r="W95" s="876"/>
      <c r="X95" s="876"/>
      <c r="Y95" s="876"/>
      <c r="Z95" s="876"/>
      <c r="AA95" s="876"/>
      <c r="AB95" s="877"/>
      <c r="AC95" s="876">
        <f>COUNTIF($H$11:$H$70,"*2*")</f>
        <v>0</v>
      </c>
      <c r="AD95" s="876"/>
      <c r="AE95" s="876"/>
      <c r="AF95" s="876"/>
      <c r="AG95" s="876"/>
      <c r="AH95" s="876"/>
      <c r="AI95" s="876"/>
      <c r="AJ95" s="875">
        <f>COUNTIF($H$11:$H$70,"*3*")</f>
        <v>0</v>
      </c>
      <c r="AK95" s="876"/>
      <c r="AL95" s="876"/>
      <c r="AM95" s="876"/>
      <c r="AN95" s="876"/>
      <c r="AO95" s="876"/>
      <c r="AP95" s="877"/>
      <c r="AQ95" s="876">
        <f>COUNTIF($H$11:$H$70,"*4*")</f>
        <v>0</v>
      </c>
      <c r="AR95" s="876"/>
      <c r="AS95" s="876"/>
      <c r="AT95" s="876"/>
      <c r="AU95" s="876"/>
      <c r="AV95" s="876"/>
      <c r="AW95" s="876"/>
      <c r="AX95" s="875">
        <f>COUNTIF($H$11:$H$70,"*5*")</f>
        <v>0</v>
      </c>
      <c r="AY95" s="876"/>
      <c r="AZ95" s="876"/>
      <c r="BA95" s="876"/>
      <c r="BB95" s="876"/>
      <c r="BC95" s="876"/>
      <c r="BD95" s="877"/>
      <c r="BE95" s="876">
        <f>COUNTIF($H$11:$H$70,"*6*")</f>
        <v>1</v>
      </c>
      <c r="BF95" s="876"/>
      <c r="BG95" s="876"/>
      <c r="BH95" s="876"/>
      <c r="BI95" s="876"/>
      <c r="BJ95" s="876"/>
      <c r="BK95" s="876"/>
      <c r="BL95" s="906">
        <f>COUNTIF($H$11:$H$70,"*7*")</f>
        <v>0</v>
      </c>
      <c r="BM95" s="905"/>
      <c r="BN95" s="905"/>
      <c r="BO95" s="905"/>
      <c r="BP95" s="905"/>
      <c r="BQ95" s="905"/>
      <c r="BR95" s="867"/>
      <c r="BS95" s="875">
        <f>COUNTIF($H$11:$H$70,"*8*")</f>
        <v>2</v>
      </c>
      <c r="BT95" s="876"/>
      <c r="BU95" s="876"/>
      <c r="BV95" s="876"/>
      <c r="BW95" s="876"/>
      <c r="BX95" s="876"/>
      <c r="BY95" s="877"/>
      <c r="BZ95" s="878">
        <f>COUNTIF($H$11:$H$70,"*9*")</f>
        <v>0</v>
      </c>
      <c r="CA95" s="876"/>
      <c r="CB95" s="876"/>
      <c r="CC95" s="876"/>
      <c r="CD95" s="876"/>
      <c r="CE95" s="876"/>
      <c r="CF95" s="876"/>
      <c r="CG95" s="879"/>
      <c r="CH95" s="878">
        <f>COUNTIF($H$11:$H$70,"*Х*")</f>
        <v>0</v>
      </c>
      <c r="CI95" s="876"/>
      <c r="CJ95" s="876"/>
      <c r="CK95" s="876"/>
      <c r="CL95" s="876"/>
      <c r="CM95" s="876"/>
      <c r="CN95" s="876"/>
      <c r="CO95" s="880"/>
      <c r="CP95" s="853"/>
      <c r="CQ95" s="853"/>
      <c r="CR95" s="854"/>
      <c r="CS95" s="855"/>
      <c r="CT95" s="855"/>
    </row>
    <row r="96" spans="1:98" s="386" customFormat="1" ht="15" customHeight="1" hidden="1">
      <c r="A96" s="907"/>
      <c r="B96" s="861" t="s">
        <v>457</v>
      </c>
      <c r="C96" s="862"/>
      <c r="D96" s="862"/>
      <c r="E96" s="862"/>
      <c r="F96" s="862"/>
      <c r="G96" s="862"/>
      <c r="H96" s="862"/>
      <c r="I96" s="862"/>
      <c r="J96" s="862"/>
      <c r="K96" s="862"/>
      <c r="L96" s="862"/>
      <c r="M96" s="862"/>
      <c r="N96" s="903" t="e">
        <f>V96+AC96+AJ96+AQ96+AX96+BE96+BL96+BS96+BZ96+CH96</f>
        <v>#REF!</v>
      </c>
      <c r="O96" s="904"/>
      <c r="P96" s="904"/>
      <c r="Q96" s="904"/>
      <c r="R96" s="904"/>
      <c r="S96" s="904"/>
      <c r="T96" s="904"/>
      <c r="U96" s="904"/>
      <c r="V96" s="875">
        <f>COUNTIF($I$11:$I$71,"*1*")</f>
        <v>5</v>
      </c>
      <c r="W96" s="876"/>
      <c r="X96" s="876"/>
      <c r="Y96" s="876"/>
      <c r="Z96" s="876"/>
      <c r="AA96" s="876"/>
      <c r="AB96" s="877"/>
      <c r="AC96" s="876">
        <f>COUNTIF($I$11:$I$71,"*2*")</f>
        <v>0</v>
      </c>
      <c r="AD96" s="876"/>
      <c r="AE96" s="876"/>
      <c r="AF96" s="876"/>
      <c r="AG96" s="876"/>
      <c r="AH96" s="876"/>
      <c r="AI96" s="876"/>
      <c r="AJ96" s="875">
        <f>COUNTIF($I$11:$I$71,"*3*")</f>
        <v>4</v>
      </c>
      <c r="AK96" s="876"/>
      <c r="AL96" s="876"/>
      <c r="AM96" s="876"/>
      <c r="AN96" s="876"/>
      <c r="AO96" s="876"/>
      <c r="AP96" s="877"/>
      <c r="AQ96" s="876">
        <f>COUNTIF($I$11:$I$71,"*4*")</f>
        <v>3</v>
      </c>
      <c r="AR96" s="876"/>
      <c r="AS96" s="876"/>
      <c r="AT96" s="876"/>
      <c r="AU96" s="876"/>
      <c r="AV96" s="876"/>
      <c r="AW96" s="876"/>
      <c r="AX96" s="875">
        <f>COUNTIF($I$11:$I$71,"*5*")</f>
        <v>5</v>
      </c>
      <c r="AY96" s="876"/>
      <c r="AZ96" s="876"/>
      <c r="BA96" s="876"/>
      <c r="BB96" s="876"/>
      <c r="BC96" s="876"/>
      <c r="BD96" s="877"/>
      <c r="BE96" s="876">
        <f>COUNTIF($I$11:$I$71,"*6*")</f>
        <v>1</v>
      </c>
      <c r="BF96" s="876"/>
      <c r="BG96" s="876"/>
      <c r="BH96" s="876"/>
      <c r="BI96" s="876"/>
      <c r="BJ96" s="876"/>
      <c r="BK96" s="876"/>
      <c r="BL96" s="875">
        <f>COUNTIF($I$11:$I$71,"*7*")</f>
        <v>6</v>
      </c>
      <c r="BM96" s="876"/>
      <c r="BN96" s="876"/>
      <c r="BO96" s="876"/>
      <c r="BP96" s="876"/>
      <c r="BQ96" s="876"/>
      <c r="BR96" s="877"/>
      <c r="BS96" s="875">
        <f>COUNTIF($I$11:$I$71,"*8*")</f>
        <v>0</v>
      </c>
      <c r="BT96" s="876"/>
      <c r="BU96" s="876"/>
      <c r="BV96" s="876"/>
      <c r="BW96" s="876"/>
      <c r="BX96" s="876"/>
      <c r="BY96" s="877"/>
      <c r="BZ96" s="878" t="e">
        <f>#REF!+#REF!+#REF!</f>
        <v>#REF!</v>
      </c>
      <c r="CA96" s="876"/>
      <c r="CB96" s="876"/>
      <c r="CC96" s="876"/>
      <c r="CD96" s="876"/>
      <c r="CE96" s="876"/>
      <c r="CF96" s="876"/>
      <c r="CG96" s="879"/>
      <c r="CH96" s="878" t="e">
        <f>#REF!+#REF!+#REF!</f>
        <v>#REF!</v>
      </c>
      <c r="CI96" s="876"/>
      <c r="CJ96" s="876"/>
      <c r="CK96" s="876"/>
      <c r="CL96" s="876"/>
      <c r="CM96" s="876"/>
      <c r="CN96" s="876"/>
      <c r="CO96" s="880"/>
      <c r="CP96" s="853"/>
      <c r="CQ96" s="853"/>
      <c r="CR96" s="854"/>
      <c r="CS96" s="855"/>
      <c r="CT96" s="855"/>
    </row>
    <row r="97" spans="1:98" ht="21" customHeight="1">
      <c r="A97" s="908"/>
      <c r="B97" s="908"/>
      <c r="C97" s="908"/>
      <c r="D97" s="909"/>
      <c r="E97" s="909"/>
      <c r="F97" s="909"/>
      <c r="G97" s="909"/>
      <c r="H97" s="909"/>
      <c r="I97" s="909"/>
      <c r="J97" s="910"/>
      <c r="K97" s="910"/>
      <c r="L97" s="911"/>
      <c r="M97" s="911"/>
      <c r="N97" s="908"/>
      <c r="O97" s="908"/>
      <c r="P97" s="908"/>
      <c r="Q97" s="908"/>
      <c r="R97" s="908"/>
      <c r="S97" s="908"/>
      <c r="T97" s="908"/>
      <c r="U97" s="908"/>
      <c r="V97" s="908"/>
      <c r="W97" s="908"/>
      <c r="X97" s="908"/>
      <c r="Y97" s="908"/>
      <c r="Z97" s="908"/>
      <c r="AA97" s="908"/>
      <c r="AB97" s="908"/>
      <c r="AC97" s="908"/>
      <c r="AD97" s="908"/>
      <c r="AE97" s="908"/>
      <c r="AF97" s="908"/>
      <c r="AG97" s="908"/>
      <c r="AH97" s="908"/>
      <c r="AI97" s="908"/>
      <c r="AJ97" s="908"/>
      <c r="AK97" s="908"/>
      <c r="AL97" s="908"/>
      <c r="AM97" s="908"/>
      <c r="AN97" s="908"/>
      <c r="AO97" s="908"/>
      <c r="AP97" s="908"/>
      <c r="AQ97" s="908"/>
      <c r="AR97" s="908"/>
      <c r="AS97" s="908"/>
      <c r="AT97" s="908"/>
      <c r="AU97" s="908"/>
      <c r="AV97" s="908"/>
      <c r="AW97" s="908"/>
      <c r="AX97" s="908"/>
      <c r="AY97" s="908"/>
      <c r="AZ97" s="908"/>
      <c r="BA97" s="908"/>
      <c r="BB97" s="908"/>
      <c r="BC97" s="908"/>
      <c r="BD97" s="908"/>
      <c r="BE97" s="908"/>
      <c r="BF97" s="908"/>
      <c r="BG97" s="908"/>
      <c r="BH97" s="908"/>
      <c r="BI97" s="908"/>
      <c r="BJ97" s="908"/>
      <c r="BK97" s="908"/>
      <c r="BL97" s="908"/>
      <c r="BM97" s="908"/>
      <c r="BN97" s="908"/>
      <c r="BO97" s="908"/>
      <c r="BP97" s="908"/>
      <c r="BQ97" s="908"/>
      <c r="BR97" s="908"/>
      <c r="BS97" s="908"/>
      <c r="BT97" s="908"/>
      <c r="BU97" s="908"/>
      <c r="BV97" s="908"/>
      <c r="BW97" s="908"/>
      <c r="BX97" s="908"/>
      <c r="BY97" s="908"/>
      <c r="BZ97" s="908"/>
      <c r="CA97" s="908"/>
      <c r="CB97" s="908"/>
      <c r="CC97" s="908"/>
      <c r="CD97" s="908"/>
      <c r="CE97" s="908"/>
      <c r="CF97" s="908"/>
      <c r="CG97" s="908"/>
      <c r="CH97" s="908"/>
      <c r="CI97" s="908"/>
      <c r="CJ97" s="908"/>
      <c r="CK97" s="908"/>
      <c r="CL97" s="908"/>
      <c r="CM97" s="908"/>
      <c r="CN97" s="908"/>
      <c r="CO97" s="908"/>
      <c r="CP97" s="912"/>
      <c r="CQ97" s="912"/>
      <c r="CR97" s="913"/>
      <c r="CS97" s="914"/>
      <c r="CT97" s="914"/>
    </row>
    <row r="98" spans="1:98" ht="13.5" customHeight="1">
      <c r="A98" s="908"/>
      <c r="B98" s="908"/>
      <c r="C98" s="908"/>
      <c r="D98" s="909"/>
      <c r="E98" s="909"/>
      <c r="F98" s="909"/>
      <c r="G98" s="909"/>
      <c r="H98" s="909"/>
      <c r="I98" s="909"/>
      <c r="J98" s="910"/>
      <c r="K98" s="910"/>
      <c r="L98" s="911"/>
      <c r="M98" s="911"/>
      <c r="N98" s="908"/>
      <c r="O98" s="908"/>
      <c r="P98" s="908"/>
      <c r="Q98" s="908"/>
      <c r="R98" s="908"/>
      <c r="S98" s="908"/>
      <c r="T98" s="908"/>
      <c r="U98" s="908"/>
      <c r="V98" s="908"/>
      <c r="W98" s="908"/>
      <c r="X98" s="908"/>
      <c r="Y98" s="908"/>
      <c r="Z98" s="908"/>
      <c r="AA98" s="908"/>
      <c r="AB98" s="908"/>
      <c r="AC98" s="908"/>
      <c r="AD98" s="908"/>
      <c r="AE98" s="908"/>
      <c r="AF98" s="908"/>
      <c r="AG98" s="908"/>
      <c r="AH98" s="908"/>
      <c r="AI98" s="908"/>
      <c r="AJ98" s="908"/>
      <c r="AK98" s="908"/>
      <c r="AL98" s="908"/>
      <c r="AM98" s="908"/>
      <c r="AN98" s="908"/>
      <c r="AO98" s="908"/>
      <c r="AP98" s="908"/>
      <c r="AQ98" s="908"/>
      <c r="AR98" s="908"/>
      <c r="AS98" s="908"/>
      <c r="AT98" s="908"/>
      <c r="AU98" s="908"/>
      <c r="AV98" s="908"/>
      <c r="AW98" s="908"/>
      <c r="AX98" s="908"/>
      <c r="AY98" s="908"/>
      <c r="AZ98" s="908"/>
      <c r="BA98" s="908"/>
      <c r="BB98" s="908"/>
      <c r="BC98" s="908"/>
      <c r="BD98" s="908"/>
      <c r="BE98" s="908"/>
      <c r="BF98" s="908"/>
      <c r="BG98" s="908"/>
      <c r="BH98" s="908"/>
      <c r="BI98" s="908"/>
      <c r="BJ98" s="908"/>
      <c r="BK98" s="908"/>
      <c r="BL98" s="908"/>
      <c r="BM98" s="908"/>
      <c r="BN98" s="908"/>
      <c r="BO98" s="908"/>
      <c r="BP98" s="908"/>
      <c r="BQ98" s="908"/>
      <c r="BR98" s="908"/>
      <c r="BS98" s="908"/>
      <c r="BT98" s="908"/>
      <c r="BU98" s="908"/>
      <c r="BV98" s="908"/>
      <c r="BW98" s="908"/>
      <c r="BX98" s="908"/>
      <c r="BY98" s="908"/>
      <c r="BZ98" s="908"/>
      <c r="CA98" s="908"/>
      <c r="CB98" s="908"/>
      <c r="CC98" s="908"/>
      <c r="CD98" s="908"/>
      <c r="CE98" s="908"/>
      <c r="CF98" s="908"/>
      <c r="CG98" s="908"/>
      <c r="CH98" s="908"/>
      <c r="CI98" s="908"/>
      <c r="CJ98" s="908"/>
      <c r="CK98" s="908"/>
      <c r="CL98" s="908"/>
      <c r="CM98" s="908"/>
      <c r="CN98" s="908"/>
      <c r="CO98" s="908"/>
      <c r="CP98" s="912"/>
      <c r="CQ98" s="912"/>
      <c r="CR98" s="913"/>
      <c r="CS98" s="914"/>
      <c r="CT98" s="914"/>
    </row>
    <row r="99" spans="1:98" ht="12.75" customHeight="1" hidden="1">
      <c r="A99" s="915" t="s">
        <v>198</v>
      </c>
      <c r="B99" s="915"/>
      <c r="C99" s="916" t="s">
        <v>199</v>
      </c>
      <c r="D99" s="916"/>
      <c r="E99" s="916" t="s">
        <v>199</v>
      </c>
      <c r="F99" s="916"/>
      <c r="G99" s="917"/>
      <c r="H99" s="909"/>
      <c r="I99" s="909"/>
      <c r="J99" s="910"/>
      <c r="K99" s="910"/>
      <c r="L99" s="911"/>
      <c r="M99" s="911"/>
      <c r="N99" s="908"/>
      <c r="O99" s="908"/>
      <c r="P99" s="908"/>
      <c r="Q99" s="908"/>
      <c r="R99" s="908"/>
      <c r="S99" s="908"/>
      <c r="T99" s="908"/>
      <c r="U99" s="908"/>
      <c r="V99" s="908"/>
      <c r="W99" s="908"/>
      <c r="X99" s="908"/>
      <c r="Y99" s="908"/>
      <c r="Z99" s="908"/>
      <c r="AA99" s="908"/>
      <c r="AB99" s="908"/>
      <c r="AC99" s="908"/>
      <c r="AD99" s="908"/>
      <c r="AE99" s="908"/>
      <c r="AF99" s="908"/>
      <c r="AG99" s="908"/>
      <c r="AH99" s="908"/>
      <c r="AI99" s="908"/>
      <c r="AJ99" s="908"/>
      <c r="AK99" s="908"/>
      <c r="AL99" s="908"/>
      <c r="AM99" s="908"/>
      <c r="AN99" s="908"/>
      <c r="AO99" s="908"/>
      <c r="AP99" s="908"/>
      <c r="AQ99" s="908"/>
      <c r="AR99" s="908"/>
      <c r="AS99" s="908"/>
      <c r="AT99" s="908"/>
      <c r="AU99" s="908"/>
      <c r="AV99" s="908"/>
      <c r="AW99" s="908"/>
      <c r="AX99" s="908"/>
      <c r="AY99" s="908"/>
      <c r="AZ99" s="908"/>
      <c r="BA99" s="908"/>
      <c r="BB99" s="908"/>
      <c r="BC99" s="908"/>
      <c r="BD99" s="908"/>
      <c r="BE99" s="908"/>
      <c r="BF99" s="908"/>
      <c r="BG99" s="908"/>
      <c r="BH99" s="908"/>
      <c r="BI99" s="908"/>
      <c r="BJ99" s="908"/>
      <c r="BK99" s="908"/>
      <c r="BL99" s="908"/>
      <c r="BM99" s="908"/>
      <c r="BN99" s="908"/>
      <c r="BO99" s="908"/>
      <c r="BP99" s="908"/>
      <c r="BQ99" s="908"/>
      <c r="BR99" s="908"/>
      <c r="BS99" s="908"/>
      <c r="BT99" s="908"/>
      <c r="BU99" s="908"/>
      <c r="BV99" s="908"/>
      <c r="BW99" s="908"/>
      <c r="BX99" s="908"/>
      <c r="BY99" s="908"/>
      <c r="BZ99" s="908"/>
      <c r="CA99" s="908"/>
      <c r="CB99" s="908"/>
      <c r="CC99" s="908"/>
      <c r="CD99" s="908"/>
      <c r="CE99" s="908"/>
      <c r="CF99" s="908"/>
      <c r="CG99" s="908"/>
      <c r="CH99" s="908"/>
      <c r="CI99" s="908"/>
      <c r="CJ99" s="908"/>
      <c r="CK99" s="908"/>
      <c r="CL99" s="908"/>
      <c r="CM99" s="908"/>
      <c r="CN99" s="908"/>
      <c r="CO99" s="908"/>
      <c r="CP99" s="912"/>
      <c r="CQ99" s="912"/>
      <c r="CR99" s="913"/>
      <c r="CS99" s="914"/>
      <c r="CT99" s="914"/>
    </row>
    <row r="100" spans="1:98" ht="12.75" customHeight="1" hidden="1">
      <c r="A100" s="918">
        <v>1</v>
      </c>
      <c r="B100" s="918">
        <v>11</v>
      </c>
      <c r="C100" s="919">
        <v>2</v>
      </c>
      <c r="D100" s="920" t="s">
        <v>39</v>
      </c>
      <c r="E100" s="919">
        <v>2</v>
      </c>
      <c r="F100" s="920" t="s">
        <v>40</v>
      </c>
      <c r="G100" s="921"/>
      <c r="H100" s="909"/>
      <c r="I100" s="909"/>
      <c r="J100" s="910"/>
      <c r="K100" s="910"/>
      <c r="L100" s="911"/>
      <c r="M100" s="911"/>
      <c r="N100" s="908"/>
      <c r="O100" s="908"/>
      <c r="P100" s="908"/>
      <c r="Q100" s="908"/>
      <c r="R100" s="908"/>
      <c r="S100" s="908"/>
      <c r="T100" s="908"/>
      <c r="U100" s="908"/>
      <c r="V100" s="908"/>
      <c r="W100" s="908"/>
      <c r="X100" s="908"/>
      <c r="Y100" s="908"/>
      <c r="Z100" s="908"/>
      <c r="AA100" s="908"/>
      <c r="AB100" s="908"/>
      <c r="AC100" s="908"/>
      <c r="AD100" s="908"/>
      <c r="AE100" s="908"/>
      <c r="AF100" s="908"/>
      <c r="AG100" s="908"/>
      <c r="AH100" s="908"/>
      <c r="AI100" s="908"/>
      <c r="AJ100" s="908"/>
      <c r="AK100" s="908"/>
      <c r="AL100" s="908"/>
      <c r="AM100" s="908"/>
      <c r="AN100" s="908"/>
      <c r="AO100" s="908"/>
      <c r="AP100" s="908"/>
      <c r="AQ100" s="908"/>
      <c r="AR100" s="908"/>
      <c r="AS100" s="908"/>
      <c r="AT100" s="908"/>
      <c r="AU100" s="908"/>
      <c r="AV100" s="908"/>
      <c r="AW100" s="908"/>
      <c r="AX100" s="908"/>
      <c r="AY100" s="908"/>
      <c r="AZ100" s="908"/>
      <c r="BA100" s="908"/>
      <c r="BB100" s="908"/>
      <c r="BC100" s="908"/>
      <c r="BD100" s="908"/>
      <c r="BE100" s="908"/>
      <c r="BF100" s="908"/>
      <c r="BG100" s="908"/>
      <c r="BH100" s="908"/>
      <c r="BI100" s="908"/>
      <c r="BJ100" s="908"/>
      <c r="BK100" s="908"/>
      <c r="BL100" s="908"/>
      <c r="BM100" s="908"/>
      <c r="BN100" s="908"/>
      <c r="BO100" s="908"/>
      <c r="BP100" s="908"/>
      <c r="BQ100" s="908"/>
      <c r="BR100" s="908"/>
      <c r="BS100" s="908"/>
      <c r="BT100" s="908"/>
      <c r="BU100" s="908"/>
      <c r="BV100" s="908"/>
      <c r="BW100" s="908"/>
      <c r="BX100" s="908"/>
      <c r="BY100" s="908"/>
      <c r="BZ100" s="908"/>
      <c r="CA100" s="908"/>
      <c r="CB100" s="908"/>
      <c r="CC100" s="908"/>
      <c r="CD100" s="908"/>
      <c r="CE100" s="908"/>
      <c r="CF100" s="908"/>
      <c r="CG100" s="908"/>
      <c r="CH100" s="908"/>
      <c r="CI100" s="908"/>
      <c r="CJ100" s="908"/>
      <c r="CK100" s="908"/>
      <c r="CL100" s="908"/>
      <c r="CM100" s="908"/>
      <c r="CN100" s="908"/>
      <c r="CO100" s="908"/>
      <c r="CP100" s="912"/>
      <c r="CQ100" s="912"/>
      <c r="CR100" s="913"/>
      <c r="CS100" s="914"/>
      <c r="CT100" s="914"/>
    </row>
    <row r="101" spans="1:98" ht="51" customHeight="1" hidden="1">
      <c r="A101" s="918" t="s">
        <v>180</v>
      </c>
      <c r="B101" s="918" t="s">
        <v>109</v>
      </c>
      <c r="C101" s="918" t="s">
        <v>5</v>
      </c>
      <c r="D101" s="922" t="s">
        <v>201</v>
      </c>
      <c r="E101" s="918" t="s">
        <v>5</v>
      </c>
      <c r="F101" s="922" t="s">
        <v>201</v>
      </c>
      <c r="G101" s="923"/>
      <c r="H101" s="909"/>
      <c r="I101" s="909"/>
      <c r="J101" s="910"/>
      <c r="K101" s="910"/>
      <c r="L101" s="911"/>
      <c r="M101" s="911"/>
      <c r="N101" s="908"/>
      <c r="O101" s="908"/>
      <c r="P101" s="908"/>
      <c r="Q101" s="908"/>
      <c r="R101" s="908"/>
      <c r="S101" s="908"/>
      <c r="T101" s="908"/>
      <c r="U101" s="908"/>
      <c r="V101" s="908"/>
      <c r="W101" s="908"/>
      <c r="X101" s="908"/>
      <c r="Y101" s="908"/>
      <c r="Z101" s="908"/>
      <c r="AA101" s="908"/>
      <c r="AB101" s="908"/>
      <c r="AC101" s="908"/>
      <c r="AD101" s="908"/>
      <c r="AE101" s="908"/>
      <c r="AF101" s="908"/>
      <c r="AG101" s="908"/>
      <c r="AH101" s="908"/>
      <c r="AI101" s="908"/>
      <c r="AJ101" s="908"/>
      <c r="AK101" s="908"/>
      <c r="AL101" s="908"/>
      <c r="AM101" s="908"/>
      <c r="AN101" s="908"/>
      <c r="AO101" s="908"/>
      <c r="AP101" s="908"/>
      <c r="AQ101" s="908"/>
      <c r="AR101" s="908"/>
      <c r="AS101" s="908"/>
      <c r="AT101" s="908"/>
      <c r="AU101" s="908"/>
      <c r="AV101" s="908"/>
      <c r="AW101" s="908"/>
      <c r="AX101" s="908"/>
      <c r="AY101" s="908"/>
      <c r="AZ101" s="908"/>
      <c r="BA101" s="908"/>
      <c r="BB101" s="908"/>
      <c r="BC101" s="908"/>
      <c r="BD101" s="908"/>
      <c r="BE101" s="908"/>
      <c r="BF101" s="908"/>
      <c r="BG101" s="908"/>
      <c r="BH101" s="908"/>
      <c r="BI101" s="908"/>
      <c r="BJ101" s="908"/>
      <c r="BK101" s="908"/>
      <c r="BL101" s="908"/>
      <c r="BM101" s="908"/>
      <c r="BN101" s="908"/>
      <c r="BO101" s="908"/>
      <c r="BP101" s="908"/>
      <c r="BQ101" s="908"/>
      <c r="BR101" s="908"/>
      <c r="BS101" s="908"/>
      <c r="BT101" s="908"/>
      <c r="BU101" s="908"/>
      <c r="BV101" s="908"/>
      <c r="BW101" s="908"/>
      <c r="BX101" s="908"/>
      <c r="BY101" s="908"/>
      <c r="BZ101" s="908"/>
      <c r="CA101" s="908"/>
      <c r="CB101" s="908"/>
      <c r="CC101" s="908"/>
      <c r="CD101" s="908"/>
      <c r="CE101" s="908"/>
      <c r="CF101" s="908"/>
      <c r="CG101" s="908"/>
      <c r="CH101" s="908"/>
      <c r="CI101" s="908"/>
      <c r="CJ101" s="908"/>
      <c r="CK101" s="908"/>
      <c r="CL101" s="908"/>
      <c r="CM101" s="908"/>
      <c r="CN101" s="908"/>
      <c r="CO101" s="908"/>
      <c r="CP101" s="912"/>
      <c r="CQ101" s="912"/>
      <c r="CR101" s="913"/>
      <c r="CS101" s="914"/>
      <c r="CT101" s="914"/>
    </row>
    <row r="102" spans="1:98" ht="12.75" customHeight="1" hidden="1">
      <c r="A102" s="918">
        <v>1</v>
      </c>
      <c r="B102" s="918">
        <v>21</v>
      </c>
      <c r="C102" s="919">
        <v>2</v>
      </c>
      <c r="D102" s="920" t="s">
        <v>39</v>
      </c>
      <c r="E102" s="919">
        <v>2</v>
      </c>
      <c r="F102" s="920" t="s">
        <v>38</v>
      </c>
      <c r="G102" s="921"/>
      <c r="H102" s="909"/>
      <c r="I102" s="909"/>
      <c r="J102" s="910"/>
      <c r="K102" s="910"/>
      <c r="L102" s="911"/>
      <c r="M102" s="911"/>
      <c r="N102" s="908"/>
      <c r="O102" s="908"/>
      <c r="P102" s="908"/>
      <c r="Q102" s="908"/>
      <c r="R102" s="908"/>
      <c r="S102" s="908"/>
      <c r="T102" s="908"/>
      <c r="U102" s="908"/>
      <c r="V102" s="908"/>
      <c r="W102" s="908"/>
      <c r="X102" s="908"/>
      <c r="Y102" s="908"/>
      <c r="Z102" s="908"/>
      <c r="AA102" s="908"/>
      <c r="AB102" s="908"/>
      <c r="AC102" s="908"/>
      <c r="AD102" s="908"/>
      <c r="AE102" s="908"/>
      <c r="AF102" s="908"/>
      <c r="AG102" s="908"/>
      <c r="AH102" s="908"/>
      <c r="AI102" s="908"/>
      <c r="AJ102" s="908"/>
      <c r="AK102" s="908"/>
      <c r="AL102" s="908"/>
      <c r="AM102" s="908"/>
      <c r="AN102" s="908"/>
      <c r="AO102" s="908"/>
      <c r="AP102" s="908"/>
      <c r="AQ102" s="908"/>
      <c r="AR102" s="908"/>
      <c r="AS102" s="908"/>
      <c r="AT102" s="908"/>
      <c r="AU102" s="908"/>
      <c r="AV102" s="908"/>
      <c r="AW102" s="908"/>
      <c r="AX102" s="908"/>
      <c r="AY102" s="908"/>
      <c r="AZ102" s="908"/>
      <c r="BA102" s="908"/>
      <c r="BB102" s="908"/>
      <c r="BC102" s="908"/>
      <c r="BD102" s="908"/>
      <c r="BE102" s="908"/>
      <c r="BF102" s="908"/>
      <c r="BG102" s="908"/>
      <c r="BH102" s="908"/>
      <c r="BI102" s="908"/>
      <c r="BJ102" s="908"/>
      <c r="BK102" s="908"/>
      <c r="BL102" s="908"/>
      <c r="BM102" s="908"/>
      <c r="BN102" s="908"/>
      <c r="BO102" s="908"/>
      <c r="BP102" s="908"/>
      <c r="BQ102" s="908"/>
      <c r="BR102" s="908"/>
      <c r="BS102" s="908"/>
      <c r="BT102" s="908"/>
      <c r="BU102" s="908"/>
      <c r="BV102" s="908"/>
      <c r="BW102" s="908"/>
      <c r="BX102" s="908"/>
      <c r="BY102" s="908"/>
      <c r="BZ102" s="908"/>
      <c r="CA102" s="908"/>
      <c r="CB102" s="908"/>
      <c r="CC102" s="908"/>
      <c r="CD102" s="908"/>
      <c r="CE102" s="908"/>
      <c r="CF102" s="908"/>
      <c r="CG102" s="908"/>
      <c r="CH102" s="908"/>
      <c r="CI102" s="908"/>
      <c r="CJ102" s="908"/>
      <c r="CK102" s="908"/>
      <c r="CL102" s="908"/>
      <c r="CM102" s="908"/>
      <c r="CN102" s="908"/>
      <c r="CO102" s="908"/>
      <c r="CP102" s="912"/>
      <c r="CQ102" s="912"/>
      <c r="CR102" s="913"/>
      <c r="CS102" s="914"/>
      <c r="CT102" s="914"/>
    </row>
    <row r="103" spans="1:98" ht="51" customHeight="1" hidden="1">
      <c r="A103" s="918" t="s">
        <v>180</v>
      </c>
      <c r="B103" s="918" t="s">
        <v>109</v>
      </c>
      <c r="C103" s="918" t="s">
        <v>5</v>
      </c>
      <c r="D103" s="922" t="s">
        <v>202</v>
      </c>
      <c r="E103" s="918" t="s">
        <v>5</v>
      </c>
      <c r="F103" s="922" t="s">
        <v>202</v>
      </c>
      <c r="G103" s="923"/>
      <c r="H103" s="909"/>
      <c r="I103" s="909"/>
      <c r="J103" s="910"/>
      <c r="K103" s="910"/>
      <c r="L103" s="911"/>
      <c r="M103" s="911"/>
      <c r="N103" s="908"/>
      <c r="O103" s="908"/>
      <c r="P103" s="908"/>
      <c r="Q103" s="908"/>
      <c r="R103" s="908"/>
      <c r="S103" s="908"/>
      <c r="T103" s="908"/>
      <c r="U103" s="908"/>
      <c r="V103" s="908"/>
      <c r="W103" s="908"/>
      <c r="X103" s="908"/>
      <c r="Y103" s="908"/>
      <c r="Z103" s="908"/>
      <c r="AA103" s="908"/>
      <c r="AB103" s="908"/>
      <c r="AC103" s="908"/>
      <c r="AD103" s="908"/>
      <c r="AE103" s="908"/>
      <c r="AF103" s="908"/>
      <c r="AG103" s="908"/>
      <c r="AH103" s="908"/>
      <c r="AI103" s="908"/>
      <c r="AJ103" s="908"/>
      <c r="AK103" s="908"/>
      <c r="AL103" s="908"/>
      <c r="AM103" s="908"/>
      <c r="AN103" s="908"/>
      <c r="AO103" s="908"/>
      <c r="AP103" s="908"/>
      <c r="AQ103" s="908"/>
      <c r="AR103" s="908"/>
      <c r="AS103" s="908"/>
      <c r="AT103" s="908"/>
      <c r="AU103" s="908"/>
      <c r="AV103" s="908"/>
      <c r="AW103" s="908"/>
      <c r="AX103" s="908"/>
      <c r="AY103" s="908"/>
      <c r="AZ103" s="908"/>
      <c r="BA103" s="908"/>
      <c r="BB103" s="908"/>
      <c r="BC103" s="908"/>
      <c r="BD103" s="908"/>
      <c r="BE103" s="908"/>
      <c r="BF103" s="908"/>
      <c r="BG103" s="908"/>
      <c r="BH103" s="908"/>
      <c r="BI103" s="908"/>
      <c r="BJ103" s="908"/>
      <c r="BK103" s="908"/>
      <c r="BL103" s="908"/>
      <c r="BM103" s="908"/>
      <c r="BN103" s="908"/>
      <c r="BO103" s="908"/>
      <c r="BP103" s="908"/>
      <c r="BQ103" s="908"/>
      <c r="BR103" s="908"/>
      <c r="BS103" s="908"/>
      <c r="BT103" s="908"/>
      <c r="BU103" s="908"/>
      <c r="BV103" s="908"/>
      <c r="BW103" s="908"/>
      <c r="BX103" s="908"/>
      <c r="BY103" s="908"/>
      <c r="BZ103" s="908"/>
      <c r="CA103" s="908"/>
      <c r="CB103" s="908"/>
      <c r="CC103" s="908"/>
      <c r="CD103" s="908"/>
      <c r="CE103" s="908"/>
      <c r="CF103" s="908"/>
      <c r="CG103" s="908"/>
      <c r="CH103" s="908"/>
      <c r="CI103" s="908"/>
      <c r="CJ103" s="908"/>
      <c r="CK103" s="908"/>
      <c r="CL103" s="908"/>
      <c r="CM103" s="908"/>
      <c r="CN103" s="908"/>
      <c r="CO103" s="908"/>
      <c r="CP103" s="912"/>
      <c r="CQ103" s="912"/>
      <c r="CR103" s="913"/>
      <c r="CS103" s="914"/>
      <c r="CT103" s="914"/>
    </row>
    <row r="104" spans="1:98" ht="12.75" customHeight="1" hidden="1">
      <c r="A104" s="918">
        <v>1</v>
      </c>
      <c r="B104" s="918">
        <v>30</v>
      </c>
      <c r="C104" s="919">
        <v>2</v>
      </c>
      <c r="D104" s="920" t="s">
        <v>40</v>
      </c>
      <c r="E104" s="919">
        <v>2</v>
      </c>
      <c r="F104" s="920" t="s">
        <v>40</v>
      </c>
      <c r="G104" s="921"/>
      <c r="H104" s="909"/>
      <c r="I104" s="909"/>
      <c r="J104" s="910"/>
      <c r="K104" s="910"/>
      <c r="L104" s="911"/>
      <c r="M104" s="911"/>
      <c r="N104" s="908"/>
      <c r="O104" s="908"/>
      <c r="P104" s="908"/>
      <c r="Q104" s="908"/>
      <c r="R104" s="908"/>
      <c r="S104" s="908"/>
      <c r="T104" s="908"/>
      <c r="U104" s="908"/>
      <c r="V104" s="908"/>
      <c r="W104" s="908"/>
      <c r="X104" s="908"/>
      <c r="Y104" s="908"/>
      <c r="Z104" s="908"/>
      <c r="AA104" s="908"/>
      <c r="AB104" s="908"/>
      <c r="AC104" s="908"/>
      <c r="AD104" s="908"/>
      <c r="AE104" s="908"/>
      <c r="AF104" s="908"/>
      <c r="AG104" s="908"/>
      <c r="AH104" s="908"/>
      <c r="AI104" s="908"/>
      <c r="AJ104" s="908"/>
      <c r="AK104" s="908"/>
      <c r="AL104" s="908"/>
      <c r="AM104" s="908"/>
      <c r="AN104" s="908"/>
      <c r="AO104" s="908"/>
      <c r="AP104" s="908"/>
      <c r="AQ104" s="908"/>
      <c r="AR104" s="908"/>
      <c r="AS104" s="908"/>
      <c r="AT104" s="908"/>
      <c r="AU104" s="908"/>
      <c r="AV104" s="908"/>
      <c r="AW104" s="908"/>
      <c r="AX104" s="908"/>
      <c r="AY104" s="908"/>
      <c r="AZ104" s="908"/>
      <c r="BA104" s="908"/>
      <c r="BB104" s="908"/>
      <c r="BC104" s="908"/>
      <c r="BD104" s="908"/>
      <c r="BE104" s="908"/>
      <c r="BF104" s="908"/>
      <c r="BG104" s="908"/>
      <c r="BH104" s="908"/>
      <c r="BI104" s="908"/>
      <c r="BJ104" s="908"/>
      <c r="BK104" s="908"/>
      <c r="BL104" s="908"/>
      <c r="BM104" s="908"/>
      <c r="BN104" s="908"/>
      <c r="BO104" s="908"/>
      <c r="BP104" s="908"/>
      <c r="BQ104" s="908"/>
      <c r="BR104" s="908"/>
      <c r="BS104" s="908"/>
      <c r="BT104" s="908"/>
      <c r="BU104" s="908"/>
      <c r="BV104" s="908"/>
      <c r="BW104" s="908"/>
      <c r="BX104" s="908"/>
      <c r="BY104" s="908"/>
      <c r="BZ104" s="908"/>
      <c r="CA104" s="908"/>
      <c r="CB104" s="908"/>
      <c r="CC104" s="908"/>
      <c r="CD104" s="908"/>
      <c r="CE104" s="908"/>
      <c r="CF104" s="908"/>
      <c r="CG104" s="908"/>
      <c r="CH104" s="908"/>
      <c r="CI104" s="908"/>
      <c r="CJ104" s="908"/>
      <c r="CK104" s="908"/>
      <c r="CL104" s="908"/>
      <c r="CM104" s="908"/>
      <c r="CN104" s="908"/>
      <c r="CO104" s="908"/>
      <c r="CP104" s="912"/>
      <c r="CQ104" s="912"/>
      <c r="CR104" s="913"/>
      <c r="CS104" s="914"/>
      <c r="CT104" s="914"/>
    </row>
    <row r="105" spans="1:98" ht="51" customHeight="1" hidden="1">
      <c r="A105" s="918" t="s">
        <v>180</v>
      </c>
      <c r="B105" s="918" t="s">
        <v>109</v>
      </c>
      <c r="C105" s="918" t="s">
        <v>5</v>
      </c>
      <c r="D105" s="922" t="s">
        <v>203</v>
      </c>
      <c r="E105" s="918" t="s">
        <v>5</v>
      </c>
      <c r="F105" s="922" t="s">
        <v>203</v>
      </c>
      <c r="G105" s="923"/>
      <c r="H105" s="909"/>
      <c r="I105" s="909"/>
      <c r="J105" s="910"/>
      <c r="K105" s="910"/>
      <c r="L105" s="911"/>
      <c r="M105" s="911"/>
      <c r="N105" s="908"/>
      <c r="O105" s="908"/>
      <c r="P105" s="908"/>
      <c r="Q105" s="908"/>
      <c r="R105" s="908"/>
      <c r="S105" s="908"/>
      <c r="T105" s="908"/>
      <c r="U105" s="908"/>
      <c r="V105" s="908"/>
      <c r="W105" s="908"/>
      <c r="X105" s="908"/>
      <c r="Y105" s="908"/>
      <c r="Z105" s="908"/>
      <c r="AA105" s="908"/>
      <c r="AB105" s="908"/>
      <c r="AC105" s="908"/>
      <c r="AD105" s="908"/>
      <c r="AE105" s="908"/>
      <c r="AF105" s="908"/>
      <c r="AG105" s="908"/>
      <c r="AH105" s="908"/>
      <c r="AI105" s="908"/>
      <c r="AJ105" s="908"/>
      <c r="AK105" s="908"/>
      <c r="AL105" s="908"/>
      <c r="AM105" s="908"/>
      <c r="AN105" s="908"/>
      <c r="AO105" s="908"/>
      <c r="AP105" s="908"/>
      <c r="AQ105" s="908"/>
      <c r="AR105" s="908"/>
      <c r="AS105" s="908"/>
      <c r="AT105" s="908"/>
      <c r="AU105" s="908"/>
      <c r="AV105" s="908"/>
      <c r="AW105" s="908"/>
      <c r="AX105" s="908"/>
      <c r="AY105" s="908"/>
      <c r="AZ105" s="908"/>
      <c r="BA105" s="908"/>
      <c r="BB105" s="908"/>
      <c r="BC105" s="908"/>
      <c r="BD105" s="908"/>
      <c r="BE105" s="908"/>
      <c r="BF105" s="908"/>
      <c r="BG105" s="908"/>
      <c r="BH105" s="908"/>
      <c r="BI105" s="908"/>
      <c r="BJ105" s="908"/>
      <c r="BK105" s="908"/>
      <c r="BL105" s="908"/>
      <c r="BM105" s="908"/>
      <c r="BN105" s="908"/>
      <c r="BO105" s="908"/>
      <c r="BP105" s="908"/>
      <c r="BQ105" s="908"/>
      <c r="BR105" s="908"/>
      <c r="BS105" s="908"/>
      <c r="BT105" s="908"/>
      <c r="BU105" s="908"/>
      <c r="BV105" s="908"/>
      <c r="BW105" s="908"/>
      <c r="BX105" s="908"/>
      <c r="BY105" s="908"/>
      <c r="BZ105" s="908"/>
      <c r="CA105" s="908"/>
      <c r="CB105" s="908"/>
      <c r="CC105" s="908"/>
      <c r="CD105" s="908"/>
      <c r="CE105" s="908"/>
      <c r="CF105" s="908"/>
      <c r="CG105" s="908"/>
      <c r="CH105" s="908"/>
      <c r="CI105" s="908"/>
      <c r="CJ105" s="908"/>
      <c r="CK105" s="908"/>
      <c r="CL105" s="908"/>
      <c r="CM105" s="908"/>
      <c r="CN105" s="908"/>
      <c r="CO105" s="908"/>
      <c r="CP105" s="912"/>
      <c r="CQ105" s="912"/>
      <c r="CR105" s="913"/>
      <c r="CS105" s="914"/>
      <c r="CT105" s="914"/>
    </row>
    <row r="106" spans="1:98" ht="12.75" customHeight="1" hidden="1">
      <c r="A106" s="918">
        <v>1</v>
      </c>
      <c r="B106" s="918">
        <v>39</v>
      </c>
      <c r="C106" s="919">
        <v>2</v>
      </c>
      <c r="D106" s="920" t="s">
        <v>40</v>
      </c>
      <c r="E106" s="919">
        <v>2</v>
      </c>
      <c r="F106" s="920" t="s">
        <v>40</v>
      </c>
      <c r="G106" s="921"/>
      <c r="H106" s="909"/>
      <c r="I106" s="909"/>
      <c r="J106" s="910"/>
      <c r="K106" s="910"/>
      <c r="L106" s="911"/>
      <c r="M106" s="911"/>
      <c r="N106" s="908"/>
      <c r="O106" s="908"/>
      <c r="P106" s="908"/>
      <c r="Q106" s="908"/>
      <c r="R106" s="908"/>
      <c r="S106" s="908"/>
      <c r="T106" s="908"/>
      <c r="U106" s="908"/>
      <c r="V106" s="908"/>
      <c r="W106" s="908"/>
      <c r="X106" s="908"/>
      <c r="Y106" s="908"/>
      <c r="Z106" s="908"/>
      <c r="AA106" s="908"/>
      <c r="AB106" s="908"/>
      <c r="AC106" s="908"/>
      <c r="AD106" s="908"/>
      <c r="AE106" s="908"/>
      <c r="AF106" s="908"/>
      <c r="AG106" s="908"/>
      <c r="AH106" s="908"/>
      <c r="AI106" s="908"/>
      <c r="AJ106" s="908"/>
      <c r="AK106" s="908"/>
      <c r="AL106" s="908"/>
      <c r="AM106" s="908"/>
      <c r="AN106" s="908"/>
      <c r="AO106" s="908"/>
      <c r="AP106" s="908"/>
      <c r="AQ106" s="908"/>
      <c r="AR106" s="908"/>
      <c r="AS106" s="908"/>
      <c r="AT106" s="908"/>
      <c r="AU106" s="908"/>
      <c r="AV106" s="908"/>
      <c r="AW106" s="908"/>
      <c r="AX106" s="908"/>
      <c r="AY106" s="908"/>
      <c r="AZ106" s="908"/>
      <c r="BA106" s="908"/>
      <c r="BB106" s="908"/>
      <c r="BC106" s="908"/>
      <c r="BD106" s="908"/>
      <c r="BE106" s="908"/>
      <c r="BF106" s="908"/>
      <c r="BG106" s="908"/>
      <c r="BH106" s="908"/>
      <c r="BI106" s="908"/>
      <c r="BJ106" s="908"/>
      <c r="BK106" s="908"/>
      <c r="BL106" s="908"/>
      <c r="BM106" s="908"/>
      <c r="BN106" s="908"/>
      <c r="BO106" s="908"/>
      <c r="BP106" s="908"/>
      <c r="BQ106" s="908"/>
      <c r="BR106" s="908"/>
      <c r="BS106" s="908"/>
      <c r="BT106" s="908"/>
      <c r="BU106" s="908"/>
      <c r="BV106" s="908"/>
      <c r="BW106" s="908"/>
      <c r="BX106" s="908"/>
      <c r="BY106" s="908"/>
      <c r="BZ106" s="908"/>
      <c r="CA106" s="908"/>
      <c r="CB106" s="908"/>
      <c r="CC106" s="908"/>
      <c r="CD106" s="908"/>
      <c r="CE106" s="908"/>
      <c r="CF106" s="908"/>
      <c r="CG106" s="908"/>
      <c r="CH106" s="908"/>
      <c r="CI106" s="908"/>
      <c r="CJ106" s="908"/>
      <c r="CK106" s="908"/>
      <c r="CL106" s="908"/>
      <c r="CM106" s="908"/>
      <c r="CN106" s="908"/>
      <c r="CO106" s="908"/>
      <c r="CP106" s="912"/>
      <c r="CQ106" s="912"/>
      <c r="CR106" s="913"/>
      <c r="CS106" s="914"/>
      <c r="CT106" s="914"/>
    </row>
    <row r="107" spans="1:98" ht="51" customHeight="1" hidden="1">
      <c r="A107" s="918" t="s">
        <v>180</v>
      </c>
      <c r="B107" s="918" t="s">
        <v>109</v>
      </c>
      <c r="C107" s="918" t="s">
        <v>5</v>
      </c>
      <c r="D107" s="922" t="s">
        <v>204</v>
      </c>
      <c r="E107" s="918" t="s">
        <v>5</v>
      </c>
      <c r="F107" s="922" t="s">
        <v>204</v>
      </c>
      <c r="G107" s="923"/>
      <c r="H107" s="909"/>
      <c r="I107" s="909"/>
      <c r="J107" s="910"/>
      <c r="K107" s="910"/>
      <c r="L107" s="911"/>
      <c r="M107" s="911"/>
      <c r="N107" s="908"/>
      <c r="O107" s="908"/>
      <c r="P107" s="908"/>
      <c r="Q107" s="908"/>
      <c r="R107" s="908"/>
      <c r="S107" s="908"/>
      <c r="T107" s="908"/>
      <c r="U107" s="908"/>
      <c r="V107" s="908"/>
      <c r="W107" s="908"/>
      <c r="X107" s="908"/>
      <c r="Y107" s="908"/>
      <c r="Z107" s="908"/>
      <c r="AA107" s="908"/>
      <c r="AB107" s="908"/>
      <c r="AC107" s="908"/>
      <c r="AD107" s="908"/>
      <c r="AE107" s="908"/>
      <c r="AF107" s="908"/>
      <c r="AG107" s="908"/>
      <c r="AH107" s="908"/>
      <c r="AI107" s="908"/>
      <c r="AJ107" s="908"/>
      <c r="AK107" s="908"/>
      <c r="AL107" s="908"/>
      <c r="AM107" s="908"/>
      <c r="AN107" s="908"/>
      <c r="AO107" s="908"/>
      <c r="AP107" s="908"/>
      <c r="AQ107" s="908"/>
      <c r="AR107" s="908"/>
      <c r="AS107" s="908"/>
      <c r="AT107" s="908"/>
      <c r="AU107" s="908"/>
      <c r="AV107" s="908"/>
      <c r="AW107" s="908"/>
      <c r="AX107" s="908"/>
      <c r="AY107" s="908"/>
      <c r="AZ107" s="908"/>
      <c r="BA107" s="908"/>
      <c r="BB107" s="908"/>
      <c r="BC107" s="908"/>
      <c r="BD107" s="908"/>
      <c r="BE107" s="908"/>
      <c r="BF107" s="908"/>
      <c r="BG107" s="908"/>
      <c r="BH107" s="908"/>
      <c r="BI107" s="908"/>
      <c r="BJ107" s="908"/>
      <c r="BK107" s="908"/>
      <c r="BL107" s="908"/>
      <c r="BM107" s="908"/>
      <c r="BN107" s="908"/>
      <c r="BO107" s="908"/>
      <c r="BP107" s="908"/>
      <c r="BQ107" s="908"/>
      <c r="BR107" s="908"/>
      <c r="BS107" s="908"/>
      <c r="BT107" s="908"/>
      <c r="BU107" s="908"/>
      <c r="BV107" s="908"/>
      <c r="BW107" s="908"/>
      <c r="BX107" s="908"/>
      <c r="BY107" s="908"/>
      <c r="BZ107" s="908"/>
      <c r="CA107" s="908"/>
      <c r="CB107" s="908"/>
      <c r="CC107" s="908"/>
      <c r="CD107" s="908"/>
      <c r="CE107" s="908"/>
      <c r="CF107" s="908"/>
      <c r="CG107" s="908"/>
      <c r="CH107" s="908"/>
      <c r="CI107" s="908"/>
      <c r="CJ107" s="908"/>
      <c r="CK107" s="908"/>
      <c r="CL107" s="908"/>
      <c r="CM107" s="908"/>
      <c r="CN107" s="908"/>
      <c r="CO107" s="908"/>
      <c r="CP107" s="912"/>
      <c r="CQ107" s="912"/>
      <c r="CR107" s="913"/>
      <c r="CS107" s="914"/>
      <c r="CT107" s="914"/>
    </row>
    <row r="108" spans="1:98" ht="12.75" customHeight="1" hidden="1">
      <c r="A108" s="918">
        <v>1</v>
      </c>
      <c r="B108" s="918">
        <v>48</v>
      </c>
      <c r="C108" s="919">
        <v>2</v>
      </c>
      <c r="D108" s="920" t="s">
        <v>40</v>
      </c>
      <c r="E108" s="919">
        <v>2</v>
      </c>
      <c r="F108" s="920" t="s">
        <v>40</v>
      </c>
      <c r="G108" s="921"/>
      <c r="H108" s="909"/>
      <c r="I108" s="909"/>
      <c r="J108" s="910"/>
      <c r="K108" s="910"/>
      <c r="L108" s="911"/>
      <c r="M108" s="911"/>
      <c r="N108" s="908"/>
      <c r="O108" s="908"/>
      <c r="P108" s="908"/>
      <c r="Q108" s="908"/>
      <c r="R108" s="908"/>
      <c r="S108" s="908"/>
      <c r="T108" s="908"/>
      <c r="U108" s="908"/>
      <c r="V108" s="908"/>
      <c r="W108" s="908"/>
      <c r="X108" s="908"/>
      <c r="Y108" s="908"/>
      <c r="Z108" s="908"/>
      <c r="AA108" s="908"/>
      <c r="AB108" s="908"/>
      <c r="AC108" s="908"/>
      <c r="AD108" s="908"/>
      <c r="AE108" s="908"/>
      <c r="AF108" s="908"/>
      <c r="AG108" s="908"/>
      <c r="AH108" s="908"/>
      <c r="AI108" s="908"/>
      <c r="AJ108" s="908"/>
      <c r="AK108" s="908"/>
      <c r="AL108" s="908"/>
      <c r="AM108" s="908"/>
      <c r="AN108" s="908"/>
      <c r="AO108" s="908"/>
      <c r="AP108" s="908"/>
      <c r="AQ108" s="908"/>
      <c r="AR108" s="908"/>
      <c r="AS108" s="908"/>
      <c r="AT108" s="908"/>
      <c r="AU108" s="908"/>
      <c r="AV108" s="908"/>
      <c r="AW108" s="908"/>
      <c r="AX108" s="908"/>
      <c r="AY108" s="908"/>
      <c r="AZ108" s="908"/>
      <c r="BA108" s="908"/>
      <c r="BB108" s="908"/>
      <c r="BC108" s="908"/>
      <c r="BD108" s="908"/>
      <c r="BE108" s="908"/>
      <c r="BF108" s="908"/>
      <c r="BG108" s="908"/>
      <c r="BH108" s="908"/>
      <c r="BI108" s="908"/>
      <c r="BJ108" s="908"/>
      <c r="BK108" s="908"/>
      <c r="BL108" s="908"/>
      <c r="BM108" s="908"/>
      <c r="BN108" s="908"/>
      <c r="BO108" s="908"/>
      <c r="BP108" s="908"/>
      <c r="BQ108" s="908"/>
      <c r="BR108" s="908"/>
      <c r="BS108" s="908"/>
      <c r="BT108" s="908"/>
      <c r="BU108" s="908"/>
      <c r="BV108" s="908"/>
      <c r="BW108" s="908"/>
      <c r="BX108" s="908"/>
      <c r="BY108" s="908"/>
      <c r="BZ108" s="908"/>
      <c r="CA108" s="908"/>
      <c r="CB108" s="908"/>
      <c r="CC108" s="908"/>
      <c r="CD108" s="908"/>
      <c r="CE108" s="908"/>
      <c r="CF108" s="908"/>
      <c r="CG108" s="908"/>
      <c r="CH108" s="908"/>
      <c r="CI108" s="908"/>
      <c r="CJ108" s="908"/>
      <c r="CK108" s="908"/>
      <c r="CL108" s="908"/>
      <c r="CM108" s="908"/>
      <c r="CN108" s="908"/>
      <c r="CO108" s="908"/>
      <c r="CP108" s="912"/>
      <c r="CQ108" s="912"/>
      <c r="CR108" s="913"/>
      <c r="CS108" s="914"/>
      <c r="CT108" s="914"/>
    </row>
    <row r="109" spans="1:98" ht="51" customHeight="1" hidden="1">
      <c r="A109" s="918" t="s">
        <v>180</v>
      </c>
      <c r="B109" s="918" t="s">
        <v>109</v>
      </c>
      <c r="C109" s="918" t="s">
        <v>5</v>
      </c>
      <c r="D109" s="922" t="s">
        <v>205</v>
      </c>
      <c r="E109" s="918" t="s">
        <v>5</v>
      </c>
      <c r="F109" s="922" t="s">
        <v>205</v>
      </c>
      <c r="G109" s="923"/>
      <c r="H109" s="909"/>
      <c r="I109" s="909"/>
      <c r="J109" s="910"/>
      <c r="K109" s="910"/>
      <c r="L109" s="911"/>
      <c r="M109" s="911"/>
      <c r="N109" s="908"/>
      <c r="O109" s="908"/>
      <c r="P109" s="908"/>
      <c r="Q109" s="908"/>
      <c r="R109" s="908"/>
      <c r="S109" s="908"/>
      <c r="T109" s="908"/>
      <c r="U109" s="908"/>
      <c r="V109" s="908"/>
      <c r="W109" s="908"/>
      <c r="X109" s="908"/>
      <c r="Y109" s="908"/>
      <c r="Z109" s="908"/>
      <c r="AA109" s="908"/>
      <c r="AB109" s="908"/>
      <c r="AC109" s="908"/>
      <c r="AD109" s="908"/>
      <c r="AE109" s="908"/>
      <c r="AF109" s="908"/>
      <c r="AG109" s="908"/>
      <c r="AH109" s="908"/>
      <c r="AI109" s="908"/>
      <c r="AJ109" s="908"/>
      <c r="AK109" s="908"/>
      <c r="AL109" s="908"/>
      <c r="AM109" s="908"/>
      <c r="AN109" s="908"/>
      <c r="AO109" s="908"/>
      <c r="AP109" s="908"/>
      <c r="AQ109" s="908"/>
      <c r="AR109" s="908"/>
      <c r="AS109" s="908"/>
      <c r="AT109" s="908"/>
      <c r="AU109" s="908"/>
      <c r="AV109" s="908"/>
      <c r="AW109" s="908"/>
      <c r="AX109" s="908"/>
      <c r="AY109" s="908"/>
      <c r="AZ109" s="908"/>
      <c r="BA109" s="908"/>
      <c r="BB109" s="908"/>
      <c r="BC109" s="908"/>
      <c r="BD109" s="908"/>
      <c r="BE109" s="908"/>
      <c r="BF109" s="908"/>
      <c r="BG109" s="908"/>
      <c r="BH109" s="908"/>
      <c r="BI109" s="908"/>
      <c r="BJ109" s="908"/>
      <c r="BK109" s="908"/>
      <c r="BL109" s="908"/>
      <c r="BM109" s="908"/>
      <c r="BN109" s="908"/>
      <c r="BO109" s="908"/>
      <c r="BP109" s="908"/>
      <c r="BQ109" s="908"/>
      <c r="BR109" s="908"/>
      <c r="BS109" s="908"/>
      <c r="BT109" s="908"/>
      <c r="BU109" s="908"/>
      <c r="BV109" s="908"/>
      <c r="BW109" s="908"/>
      <c r="BX109" s="908"/>
      <c r="BY109" s="908"/>
      <c r="BZ109" s="908"/>
      <c r="CA109" s="908"/>
      <c r="CB109" s="908"/>
      <c r="CC109" s="908"/>
      <c r="CD109" s="908"/>
      <c r="CE109" s="908"/>
      <c r="CF109" s="908"/>
      <c r="CG109" s="908"/>
      <c r="CH109" s="908"/>
      <c r="CI109" s="908"/>
      <c r="CJ109" s="908"/>
      <c r="CK109" s="908"/>
      <c r="CL109" s="908"/>
      <c r="CM109" s="908"/>
      <c r="CN109" s="908"/>
      <c r="CO109" s="908"/>
      <c r="CP109" s="912"/>
      <c r="CQ109" s="912"/>
      <c r="CR109" s="913"/>
      <c r="CS109" s="914"/>
      <c r="CT109" s="914"/>
    </row>
    <row r="110" spans="1:98" ht="12.75" customHeight="1" hidden="1">
      <c r="A110" s="918">
        <v>1</v>
      </c>
      <c r="B110" s="918">
        <v>57</v>
      </c>
      <c r="C110" s="919">
        <v>2</v>
      </c>
      <c r="D110" s="920" t="s">
        <v>40</v>
      </c>
      <c r="E110" s="919">
        <v>2</v>
      </c>
      <c r="F110" s="920" t="s">
        <v>40</v>
      </c>
      <c r="G110" s="921"/>
      <c r="H110" s="909"/>
      <c r="I110" s="909"/>
      <c r="J110" s="910"/>
      <c r="K110" s="910"/>
      <c r="L110" s="911"/>
      <c r="M110" s="911"/>
      <c r="N110" s="908"/>
      <c r="O110" s="908"/>
      <c r="P110" s="908"/>
      <c r="Q110" s="908"/>
      <c r="R110" s="908"/>
      <c r="S110" s="908"/>
      <c r="T110" s="908"/>
      <c r="U110" s="908"/>
      <c r="V110" s="908"/>
      <c r="W110" s="908"/>
      <c r="X110" s="908"/>
      <c r="Y110" s="908"/>
      <c r="Z110" s="908"/>
      <c r="AA110" s="908"/>
      <c r="AB110" s="908"/>
      <c r="AC110" s="908"/>
      <c r="AD110" s="908"/>
      <c r="AE110" s="908"/>
      <c r="AF110" s="908"/>
      <c r="AG110" s="908"/>
      <c r="AH110" s="908"/>
      <c r="AI110" s="908"/>
      <c r="AJ110" s="908"/>
      <c r="AK110" s="908"/>
      <c r="AL110" s="908"/>
      <c r="AM110" s="908"/>
      <c r="AN110" s="908"/>
      <c r="AO110" s="908"/>
      <c r="AP110" s="908"/>
      <c r="AQ110" s="908"/>
      <c r="AR110" s="908"/>
      <c r="AS110" s="908"/>
      <c r="AT110" s="908"/>
      <c r="AU110" s="908"/>
      <c r="AV110" s="908"/>
      <c r="AW110" s="908"/>
      <c r="AX110" s="908"/>
      <c r="AY110" s="908"/>
      <c r="AZ110" s="908"/>
      <c r="BA110" s="908"/>
      <c r="BB110" s="908"/>
      <c r="BC110" s="908"/>
      <c r="BD110" s="908"/>
      <c r="BE110" s="908"/>
      <c r="BF110" s="908"/>
      <c r="BG110" s="908"/>
      <c r="BH110" s="908"/>
      <c r="BI110" s="908"/>
      <c r="BJ110" s="908"/>
      <c r="BK110" s="908"/>
      <c r="BL110" s="908"/>
      <c r="BM110" s="908"/>
      <c r="BN110" s="908"/>
      <c r="BO110" s="908"/>
      <c r="BP110" s="908"/>
      <c r="BQ110" s="908"/>
      <c r="BR110" s="908"/>
      <c r="BS110" s="908"/>
      <c r="BT110" s="908"/>
      <c r="BU110" s="908"/>
      <c r="BV110" s="908"/>
      <c r="BW110" s="908"/>
      <c r="BX110" s="908"/>
      <c r="BY110" s="908"/>
      <c r="BZ110" s="908"/>
      <c r="CA110" s="908"/>
      <c r="CB110" s="908"/>
      <c r="CC110" s="908"/>
      <c r="CD110" s="908"/>
      <c r="CE110" s="908"/>
      <c r="CF110" s="908"/>
      <c r="CG110" s="908"/>
      <c r="CH110" s="908"/>
      <c r="CI110" s="908"/>
      <c r="CJ110" s="908"/>
      <c r="CK110" s="908"/>
      <c r="CL110" s="908"/>
      <c r="CM110" s="908"/>
      <c r="CN110" s="908"/>
      <c r="CO110" s="908"/>
      <c r="CP110" s="912"/>
      <c r="CQ110" s="912"/>
      <c r="CR110" s="913"/>
      <c r="CS110" s="914"/>
      <c r="CT110" s="914"/>
    </row>
    <row r="111" spans="1:98" ht="51" customHeight="1" hidden="1">
      <c r="A111" s="918" t="s">
        <v>180</v>
      </c>
      <c r="B111" s="918" t="s">
        <v>109</v>
      </c>
      <c r="C111" s="918" t="s">
        <v>5</v>
      </c>
      <c r="D111" s="922" t="s">
        <v>206</v>
      </c>
      <c r="E111" s="918" t="s">
        <v>5</v>
      </c>
      <c r="F111" s="922" t="s">
        <v>206</v>
      </c>
      <c r="G111" s="923"/>
      <c r="H111" s="909"/>
      <c r="I111" s="909"/>
      <c r="J111" s="910"/>
      <c r="K111" s="910"/>
      <c r="L111" s="911"/>
      <c r="M111" s="911"/>
      <c r="N111" s="908"/>
      <c r="O111" s="908"/>
      <c r="P111" s="908"/>
      <c r="Q111" s="908"/>
      <c r="R111" s="908"/>
      <c r="S111" s="908"/>
      <c r="T111" s="908"/>
      <c r="U111" s="908"/>
      <c r="V111" s="908"/>
      <c r="W111" s="908"/>
      <c r="X111" s="908"/>
      <c r="Y111" s="908"/>
      <c r="Z111" s="908"/>
      <c r="AA111" s="908"/>
      <c r="AB111" s="908"/>
      <c r="AC111" s="908"/>
      <c r="AD111" s="908"/>
      <c r="AE111" s="908"/>
      <c r="AF111" s="908"/>
      <c r="AG111" s="908"/>
      <c r="AH111" s="908"/>
      <c r="AI111" s="908"/>
      <c r="AJ111" s="908"/>
      <c r="AK111" s="908"/>
      <c r="AL111" s="908"/>
      <c r="AM111" s="908"/>
      <c r="AN111" s="908"/>
      <c r="AO111" s="908"/>
      <c r="AP111" s="908"/>
      <c r="AQ111" s="908"/>
      <c r="AR111" s="908"/>
      <c r="AS111" s="908"/>
      <c r="AT111" s="908"/>
      <c r="AU111" s="908"/>
      <c r="AV111" s="908"/>
      <c r="AW111" s="908"/>
      <c r="AX111" s="908"/>
      <c r="AY111" s="908"/>
      <c r="AZ111" s="908"/>
      <c r="BA111" s="908"/>
      <c r="BB111" s="908"/>
      <c r="BC111" s="908"/>
      <c r="BD111" s="908"/>
      <c r="BE111" s="908"/>
      <c r="BF111" s="908"/>
      <c r="BG111" s="908"/>
      <c r="BH111" s="908"/>
      <c r="BI111" s="908"/>
      <c r="BJ111" s="908"/>
      <c r="BK111" s="908"/>
      <c r="BL111" s="908"/>
      <c r="BM111" s="908"/>
      <c r="BN111" s="908"/>
      <c r="BO111" s="908"/>
      <c r="BP111" s="908"/>
      <c r="BQ111" s="908"/>
      <c r="BR111" s="908"/>
      <c r="BS111" s="908"/>
      <c r="BT111" s="908"/>
      <c r="BU111" s="908"/>
      <c r="BV111" s="908"/>
      <c r="BW111" s="908"/>
      <c r="BX111" s="908"/>
      <c r="BY111" s="908"/>
      <c r="BZ111" s="908"/>
      <c r="CA111" s="908"/>
      <c r="CB111" s="908"/>
      <c r="CC111" s="908"/>
      <c r="CD111" s="908"/>
      <c r="CE111" s="908"/>
      <c r="CF111" s="908"/>
      <c r="CG111" s="908"/>
      <c r="CH111" s="908"/>
      <c r="CI111" s="908"/>
      <c r="CJ111" s="908"/>
      <c r="CK111" s="908"/>
      <c r="CL111" s="908"/>
      <c r="CM111" s="908"/>
      <c r="CN111" s="908"/>
      <c r="CO111" s="908"/>
      <c r="CP111" s="912"/>
      <c r="CQ111" s="912"/>
      <c r="CR111" s="913"/>
      <c r="CS111" s="914"/>
      <c r="CT111" s="914"/>
    </row>
    <row r="112" spans="1:98" ht="12.75" customHeight="1" hidden="1">
      <c r="A112" s="918">
        <v>1</v>
      </c>
      <c r="B112" s="918">
        <v>66</v>
      </c>
      <c r="C112" s="919">
        <v>2</v>
      </c>
      <c r="D112" s="920" t="s">
        <v>40</v>
      </c>
      <c r="E112" s="919">
        <v>2</v>
      </c>
      <c r="F112" s="920" t="s">
        <v>40</v>
      </c>
      <c r="G112" s="921"/>
      <c r="H112" s="909"/>
      <c r="I112" s="909"/>
      <c r="J112" s="910"/>
      <c r="K112" s="910"/>
      <c r="L112" s="911"/>
      <c r="M112" s="911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8"/>
      <c r="AD112" s="908"/>
      <c r="AE112" s="908"/>
      <c r="AF112" s="908"/>
      <c r="AG112" s="908"/>
      <c r="AH112" s="908"/>
      <c r="AI112" s="908"/>
      <c r="AJ112" s="908"/>
      <c r="AK112" s="908"/>
      <c r="AL112" s="908"/>
      <c r="AM112" s="908"/>
      <c r="AN112" s="908"/>
      <c r="AO112" s="908"/>
      <c r="AP112" s="908"/>
      <c r="AQ112" s="908"/>
      <c r="AR112" s="908"/>
      <c r="AS112" s="908"/>
      <c r="AT112" s="908"/>
      <c r="AU112" s="908"/>
      <c r="AV112" s="908"/>
      <c r="AW112" s="908"/>
      <c r="AX112" s="908"/>
      <c r="AY112" s="908"/>
      <c r="AZ112" s="908"/>
      <c r="BA112" s="908"/>
      <c r="BB112" s="908"/>
      <c r="BC112" s="908"/>
      <c r="BD112" s="908"/>
      <c r="BE112" s="908"/>
      <c r="BF112" s="908"/>
      <c r="BG112" s="908"/>
      <c r="BH112" s="908"/>
      <c r="BI112" s="908"/>
      <c r="BJ112" s="908"/>
      <c r="BK112" s="908"/>
      <c r="BL112" s="908"/>
      <c r="BM112" s="908"/>
      <c r="BN112" s="908"/>
      <c r="BO112" s="908"/>
      <c r="BP112" s="908"/>
      <c r="BQ112" s="908"/>
      <c r="BR112" s="908"/>
      <c r="BS112" s="908"/>
      <c r="BT112" s="908"/>
      <c r="BU112" s="908"/>
      <c r="BV112" s="908"/>
      <c r="BW112" s="908"/>
      <c r="BX112" s="908"/>
      <c r="BY112" s="908"/>
      <c r="BZ112" s="908"/>
      <c r="CA112" s="908"/>
      <c r="CB112" s="908"/>
      <c r="CC112" s="908"/>
      <c r="CD112" s="908"/>
      <c r="CE112" s="908"/>
      <c r="CF112" s="908"/>
      <c r="CG112" s="908"/>
      <c r="CH112" s="908"/>
      <c r="CI112" s="908"/>
      <c r="CJ112" s="908"/>
      <c r="CK112" s="908"/>
      <c r="CL112" s="908"/>
      <c r="CM112" s="908"/>
      <c r="CN112" s="908"/>
      <c r="CO112" s="908"/>
      <c r="CP112" s="912"/>
      <c r="CQ112" s="912"/>
      <c r="CR112" s="913"/>
      <c r="CS112" s="914"/>
      <c r="CT112" s="914"/>
    </row>
    <row r="113" spans="1:98" ht="51" customHeight="1" hidden="1">
      <c r="A113" s="918" t="s">
        <v>180</v>
      </c>
      <c r="B113" s="918" t="s">
        <v>109</v>
      </c>
      <c r="C113" s="918" t="s">
        <v>5</v>
      </c>
      <c r="D113" s="922" t="s">
        <v>207</v>
      </c>
      <c r="E113" s="918" t="s">
        <v>5</v>
      </c>
      <c r="F113" s="922" t="s">
        <v>207</v>
      </c>
      <c r="G113" s="923"/>
      <c r="H113" s="909"/>
      <c r="I113" s="909"/>
      <c r="J113" s="910"/>
      <c r="K113" s="910"/>
      <c r="L113" s="911"/>
      <c r="M113" s="911"/>
      <c r="N113" s="908"/>
      <c r="O113" s="908"/>
      <c r="P113" s="908"/>
      <c r="Q113" s="908"/>
      <c r="R113" s="908"/>
      <c r="S113" s="908"/>
      <c r="T113" s="908"/>
      <c r="U113" s="908"/>
      <c r="V113" s="908"/>
      <c r="W113" s="908"/>
      <c r="X113" s="908"/>
      <c r="Y113" s="908"/>
      <c r="Z113" s="908"/>
      <c r="AA113" s="908"/>
      <c r="AB113" s="908"/>
      <c r="AC113" s="908"/>
      <c r="AD113" s="908"/>
      <c r="AE113" s="908"/>
      <c r="AF113" s="908"/>
      <c r="AG113" s="908"/>
      <c r="AH113" s="908"/>
      <c r="AI113" s="908"/>
      <c r="AJ113" s="908"/>
      <c r="AK113" s="908"/>
      <c r="AL113" s="908"/>
      <c r="AM113" s="908"/>
      <c r="AN113" s="908"/>
      <c r="AO113" s="908"/>
      <c r="AP113" s="908"/>
      <c r="AQ113" s="908"/>
      <c r="AR113" s="908"/>
      <c r="AS113" s="908"/>
      <c r="AT113" s="908"/>
      <c r="AU113" s="908"/>
      <c r="AV113" s="908"/>
      <c r="AW113" s="908"/>
      <c r="AX113" s="908"/>
      <c r="AY113" s="908"/>
      <c r="AZ113" s="908"/>
      <c r="BA113" s="908"/>
      <c r="BB113" s="908"/>
      <c r="BC113" s="908"/>
      <c r="BD113" s="908"/>
      <c r="BE113" s="908"/>
      <c r="BF113" s="908"/>
      <c r="BG113" s="908"/>
      <c r="BH113" s="908"/>
      <c r="BI113" s="908"/>
      <c r="BJ113" s="908"/>
      <c r="BK113" s="908"/>
      <c r="BL113" s="908"/>
      <c r="BM113" s="908"/>
      <c r="BN113" s="908"/>
      <c r="BO113" s="908"/>
      <c r="BP113" s="908"/>
      <c r="BQ113" s="908"/>
      <c r="BR113" s="908"/>
      <c r="BS113" s="908"/>
      <c r="BT113" s="908"/>
      <c r="BU113" s="908"/>
      <c r="BV113" s="908"/>
      <c r="BW113" s="908"/>
      <c r="BX113" s="908"/>
      <c r="BY113" s="908"/>
      <c r="BZ113" s="908"/>
      <c r="CA113" s="908"/>
      <c r="CB113" s="908"/>
      <c r="CC113" s="908"/>
      <c r="CD113" s="908"/>
      <c r="CE113" s="908"/>
      <c r="CF113" s="908"/>
      <c r="CG113" s="908"/>
      <c r="CH113" s="908"/>
      <c r="CI113" s="908"/>
      <c r="CJ113" s="908"/>
      <c r="CK113" s="908"/>
      <c r="CL113" s="908"/>
      <c r="CM113" s="908"/>
      <c r="CN113" s="908"/>
      <c r="CO113" s="908"/>
      <c r="CP113" s="912"/>
      <c r="CQ113" s="912"/>
      <c r="CR113" s="913"/>
      <c r="CS113" s="914"/>
      <c r="CT113" s="914"/>
    </row>
    <row r="114" spans="1:98" ht="12.75" customHeight="1" hidden="1">
      <c r="A114" s="918">
        <v>1</v>
      </c>
      <c r="B114" s="918">
        <v>75</v>
      </c>
      <c r="C114" s="919">
        <v>2</v>
      </c>
      <c r="D114" s="920" t="s">
        <v>40</v>
      </c>
      <c r="E114" s="919">
        <v>2</v>
      </c>
      <c r="F114" s="920" t="s">
        <v>40</v>
      </c>
      <c r="G114" s="921"/>
      <c r="H114" s="909"/>
      <c r="I114" s="909"/>
      <c r="J114" s="910"/>
      <c r="K114" s="910"/>
      <c r="L114" s="911"/>
      <c r="M114" s="911"/>
      <c r="N114" s="908"/>
      <c r="O114" s="908"/>
      <c r="P114" s="908"/>
      <c r="Q114" s="908"/>
      <c r="R114" s="908"/>
      <c r="S114" s="908"/>
      <c r="T114" s="908"/>
      <c r="U114" s="908"/>
      <c r="V114" s="908"/>
      <c r="W114" s="908"/>
      <c r="X114" s="908"/>
      <c r="Y114" s="908"/>
      <c r="Z114" s="908"/>
      <c r="AA114" s="908"/>
      <c r="AB114" s="908"/>
      <c r="AC114" s="908"/>
      <c r="AD114" s="908"/>
      <c r="AE114" s="908"/>
      <c r="AF114" s="908"/>
      <c r="AG114" s="908"/>
      <c r="AH114" s="908"/>
      <c r="AI114" s="908"/>
      <c r="AJ114" s="908"/>
      <c r="AK114" s="908"/>
      <c r="AL114" s="908"/>
      <c r="AM114" s="908"/>
      <c r="AN114" s="908"/>
      <c r="AO114" s="908"/>
      <c r="AP114" s="908"/>
      <c r="AQ114" s="908"/>
      <c r="AR114" s="908"/>
      <c r="AS114" s="908"/>
      <c r="AT114" s="908"/>
      <c r="AU114" s="908"/>
      <c r="AV114" s="908"/>
      <c r="AW114" s="908"/>
      <c r="AX114" s="908"/>
      <c r="AY114" s="908"/>
      <c r="AZ114" s="908"/>
      <c r="BA114" s="908"/>
      <c r="BB114" s="908"/>
      <c r="BC114" s="908"/>
      <c r="BD114" s="908"/>
      <c r="BE114" s="908"/>
      <c r="BF114" s="908"/>
      <c r="BG114" s="908"/>
      <c r="BH114" s="908"/>
      <c r="BI114" s="908"/>
      <c r="BJ114" s="908"/>
      <c r="BK114" s="908"/>
      <c r="BL114" s="908"/>
      <c r="BM114" s="908"/>
      <c r="BN114" s="908"/>
      <c r="BO114" s="908"/>
      <c r="BP114" s="908"/>
      <c r="BQ114" s="908"/>
      <c r="BR114" s="908"/>
      <c r="BS114" s="908"/>
      <c r="BT114" s="908"/>
      <c r="BU114" s="908"/>
      <c r="BV114" s="908"/>
      <c r="BW114" s="908"/>
      <c r="BX114" s="908"/>
      <c r="BY114" s="908"/>
      <c r="BZ114" s="908"/>
      <c r="CA114" s="908"/>
      <c r="CB114" s="908"/>
      <c r="CC114" s="908"/>
      <c r="CD114" s="908"/>
      <c r="CE114" s="908"/>
      <c r="CF114" s="908"/>
      <c r="CG114" s="908"/>
      <c r="CH114" s="908"/>
      <c r="CI114" s="908"/>
      <c r="CJ114" s="908"/>
      <c r="CK114" s="908"/>
      <c r="CL114" s="908"/>
      <c r="CM114" s="908"/>
      <c r="CN114" s="908"/>
      <c r="CO114" s="908"/>
      <c r="CP114" s="912"/>
      <c r="CQ114" s="912"/>
      <c r="CR114" s="913"/>
      <c r="CS114" s="914"/>
      <c r="CT114" s="914"/>
    </row>
    <row r="115" spans="1:98" ht="51" customHeight="1" hidden="1">
      <c r="A115" s="918" t="s">
        <v>180</v>
      </c>
      <c r="B115" s="918" t="s">
        <v>109</v>
      </c>
      <c r="C115" s="918" t="s">
        <v>5</v>
      </c>
      <c r="D115" s="922" t="s">
        <v>208</v>
      </c>
      <c r="E115" s="918" t="s">
        <v>5</v>
      </c>
      <c r="F115" s="922" t="s">
        <v>208</v>
      </c>
      <c r="G115" s="923"/>
      <c r="H115" s="909"/>
      <c r="I115" s="909"/>
      <c r="J115" s="910"/>
      <c r="K115" s="910"/>
      <c r="L115" s="911"/>
      <c r="M115" s="911"/>
      <c r="N115" s="908"/>
      <c r="O115" s="908"/>
      <c r="P115" s="908"/>
      <c r="Q115" s="908"/>
      <c r="R115" s="908"/>
      <c r="S115" s="908"/>
      <c r="T115" s="908"/>
      <c r="U115" s="908"/>
      <c r="V115" s="908"/>
      <c r="W115" s="908"/>
      <c r="X115" s="908"/>
      <c r="Y115" s="908"/>
      <c r="Z115" s="908"/>
      <c r="AA115" s="908"/>
      <c r="AB115" s="908"/>
      <c r="AC115" s="908"/>
      <c r="AD115" s="908"/>
      <c r="AE115" s="908"/>
      <c r="AF115" s="908"/>
      <c r="AG115" s="908"/>
      <c r="AH115" s="908"/>
      <c r="AI115" s="908"/>
      <c r="AJ115" s="908"/>
      <c r="AK115" s="908"/>
      <c r="AL115" s="908"/>
      <c r="AM115" s="908"/>
      <c r="AN115" s="908"/>
      <c r="AO115" s="908"/>
      <c r="AP115" s="908"/>
      <c r="AQ115" s="908"/>
      <c r="AR115" s="908"/>
      <c r="AS115" s="908"/>
      <c r="AT115" s="908"/>
      <c r="AU115" s="908"/>
      <c r="AV115" s="908"/>
      <c r="AW115" s="908"/>
      <c r="AX115" s="908"/>
      <c r="AY115" s="908"/>
      <c r="AZ115" s="908"/>
      <c r="BA115" s="908"/>
      <c r="BB115" s="908"/>
      <c r="BC115" s="908"/>
      <c r="BD115" s="908"/>
      <c r="BE115" s="908"/>
      <c r="BF115" s="908"/>
      <c r="BG115" s="908"/>
      <c r="BH115" s="908"/>
      <c r="BI115" s="908"/>
      <c r="BJ115" s="908"/>
      <c r="BK115" s="908"/>
      <c r="BL115" s="908"/>
      <c r="BM115" s="908"/>
      <c r="BN115" s="908"/>
      <c r="BO115" s="908"/>
      <c r="BP115" s="908"/>
      <c r="BQ115" s="908"/>
      <c r="BR115" s="908"/>
      <c r="BS115" s="908"/>
      <c r="BT115" s="908"/>
      <c r="BU115" s="908"/>
      <c r="BV115" s="908"/>
      <c r="BW115" s="908"/>
      <c r="BX115" s="908"/>
      <c r="BY115" s="908"/>
      <c r="BZ115" s="908"/>
      <c r="CA115" s="908"/>
      <c r="CB115" s="908"/>
      <c r="CC115" s="908"/>
      <c r="CD115" s="908"/>
      <c r="CE115" s="908"/>
      <c r="CF115" s="908"/>
      <c r="CG115" s="908"/>
      <c r="CH115" s="908"/>
      <c r="CI115" s="908"/>
      <c r="CJ115" s="908"/>
      <c r="CK115" s="908"/>
      <c r="CL115" s="908"/>
      <c r="CM115" s="908"/>
      <c r="CN115" s="908"/>
      <c r="CO115" s="908"/>
      <c r="CP115" s="912"/>
      <c r="CQ115" s="912"/>
      <c r="CR115" s="913"/>
      <c r="CS115" s="914"/>
      <c r="CT115" s="914"/>
    </row>
    <row r="116" spans="1:98" ht="12.75" customHeight="1" hidden="1">
      <c r="A116" s="918">
        <v>1</v>
      </c>
      <c r="B116" s="918">
        <v>84</v>
      </c>
      <c r="C116" s="919">
        <v>2</v>
      </c>
      <c r="D116" s="920" t="s">
        <v>40</v>
      </c>
      <c r="E116" s="919">
        <v>2</v>
      </c>
      <c r="F116" s="920" t="s">
        <v>40</v>
      </c>
      <c r="G116" s="921"/>
      <c r="H116" s="909"/>
      <c r="I116" s="909"/>
      <c r="J116" s="910"/>
      <c r="K116" s="910"/>
      <c r="L116" s="911"/>
      <c r="M116" s="911"/>
      <c r="N116" s="908"/>
      <c r="O116" s="908"/>
      <c r="P116" s="908"/>
      <c r="Q116" s="908"/>
      <c r="R116" s="908"/>
      <c r="S116" s="908"/>
      <c r="T116" s="908"/>
      <c r="U116" s="908"/>
      <c r="V116" s="908"/>
      <c r="W116" s="908"/>
      <c r="X116" s="908"/>
      <c r="Y116" s="908"/>
      <c r="Z116" s="908"/>
      <c r="AA116" s="908"/>
      <c r="AB116" s="908"/>
      <c r="AC116" s="908"/>
      <c r="AD116" s="908"/>
      <c r="AE116" s="908"/>
      <c r="AF116" s="908"/>
      <c r="AG116" s="908"/>
      <c r="AH116" s="908"/>
      <c r="AI116" s="908"/>
      <c r="AJ116" s="908"/>
      <c r="AK116" s="908"/>
      <c r="AL116" s="908"/>
      <c r="AM116" s="908"/>
      <c r="AN116" s="908"/>
      <c r="AO116" s="908"/>
      <c r="AP116" s="908"/>
      <c r="AQ116" s="908"/>
      <c r="AR116" s="908"/>
      <c r="AS116" s="908"/>
      <c r="AT116" s="908"/>
      <c r="AU116" s="908"/>
      <c r="AV116" s="908"/>
      <c r="AW116" s="908"/>
      <c r="AX116" s="908"/>
      <c r="AY116" s="908"/>
      <c r="AZ116" s="908"/>
      <c r="BA116" s="908"/>
      <c r="BB116" s="908"/>
      <c r="BC116" s="908"/>
      <c r="BD116" s="908"/>
      <c r="BE116" s="908"/>
      <c r="BF116" s="908"/>
      <c r="BG116" s="908"/>
      <c r="BH116" s="908"/>
      <c r="BI116" s="908"/>
      <c r="BJ116" s="908"/>
      <c r="BK116" s="908"/>
      <c r="BL116" s="908"/>
      <c r="BM116" s="908"/>
      <c r="BN116" s="908"/>
      <c r="BO116" s="908"/>
      <c r="BP116" s="908"/>
      <c r="BQ116" s="908"/>
      <c r="BR116" s="908"/>
      <c r="BS116" s="908"/>
      <c r="BT116" s="908"/>
      <c r="BU116" s="908"/>
      <c r="BV116" s="908"/>
      <c r="BW116" s="908"/>
      <c r="BX116" s="908"/>
      <c r="BY116" s="908"/>
      <c r="BZ116" s="908"/>
      <c r="CA116" s="908"/>
      <c r="CB116" s="908"/>
      <c r="CC116" s="908"/>
      <c r="CD116" s="908"/>
      <c r="CE116" s="908"/>
      <c r="CF116" s="908"/>
      <c r="CG116" s="908"/>
      <c r="CH116" s="908"/>
      <c r="CI116" s="908"/>
      <c r="CJ116" s="908"/>
      <c r="CK116" s="908"/>
      <c r="CL116" s="908"/>
      <c r="CM116" s="908"/>
      <c r="CN116" s="908"/>
      <c r="CO116" s="908"/>
      <c r="CP116" s="912"/>
      <c r="CQ116" s="912"/>
      <c r="CR116" s="913"/>
      <c r="CS116" s="914"/>
      <c r="CT116" s="914"/>
    </row>
    <row r="117" spans="1:98" ht="51" customHeight="1" hidden="1">
      <c r="A117" s="918" t="s">
        <v>180</v>
      </c>
      <c r="B117" s="918" t="s">
        <v>109</v>
      </c>
      <c r="C117" s="918" t="s">
        <v>5</v>
      </c>
      <c r="D117" s="922" t="s">
        <v>209</v>
      </c>
      <c r="E117" s="918" t="s">
        <v>5</v>
      </c>
      <c r="F117" s="922" t="s">
        <v>209</v>
      </c>
      <c r="G117" s="923"/>
      <c r="H117" s="909"/>
      <c r="I117" s="909"/>
      <c r="J117" s="910"/>
      <c r="K117" s="910"/>
      <c r="L117" s="911"/>
      <c r="M117" s="911"/>
      <c r="N117" s="908"/>
      <c r="O117" s="908"/>
      <c r="P117" s="908"/>
      <c r="Q117" s="908"/>
      <c r="R117" s="908"/>
      <c r="S117" s="908"/>
      <c r="T117" s="908"/>
      <c r="U117" s="908"/>
      <c r="V117" s="908"/>
      <c r="W117" s="908"/>
      <c r="X117" s="908"/>
      <c r="Y117" s="908"/>
      <c r="Z117" s="908"/>
      <c r="AA117" s="908"/>
      <c r="AB117" s="908"/>
      <c r="AC117" s="908"/>
      <c r="AD117" s="908"/>
      <c r="AE117" s="908"/>
      <c r="AF117" s="908"/>
      <c r="AG117" s="908"/>
      <c r="AH117" s="908"/>
      <c r="AI117" s="908"/>
      <c r="AJ117" s="908"/>
      <c r="AK117" s="908"/>
      <c r="AL117" s="908"/>
      <c r="AM117" s="908"/>
      <c r="AN117" s="908"/>
      <c r="AO117" s="908"/>
      <c r="AP117" s="908"/>
      <c r="AQ117" s="908"/>
      <c r="AR117" s="908"/>
      <c r="AS117" s="908"/>
      <c r="AT117" s="908"/>
      <c r="AU117" s="908"/>
      <c r="AV117" s="908"/>
      <c r="AW117" s="908"/>
      <c r="AX117" s="908"/>
      <c r="AY117" s="908"/>
      <c r="AZ117" s="908"/>
      <c r="BA117" s="908"/>
      <c r="BB117" s="908"/>
      <c r="BC117" s="908"/>
      <c r="BD117" s="908"/>
      <c r="BE117" s="908"/>
      <c r="BF117" s="908"/>
      <c r="BG117" s="908"/>
      <c r="BH117" s="908"/>
      <c r="BI117" s="908"/>
      <c r="BJ117" s="908"/>
      <c r="BK117" s="908"/>
      <c r="BL117" s="908"/>
      <c r="BM117" s="908"/>
      <c r="BN117" s="908"/>
      <c r="BO117" s="908"/>
      <c r="BP117" s="908"/>
      <c r="BQ117" s="908"/>
      <c r="BR117" s="908"/>
      <c r="BS117" s="908"/>
      <c r="BT117" s="908"/>
      <c r="BU117" s="908"/>
      <c r="BV117" s="908"/>
      <c r="BW117" s="908"/>
      <c r="BX117" s="908"/>
      <c r="BY117" s="908"/>
      <c r="BZ117" s="908"/>
      <c r="CA117" s="908"/>
      <c r="CB117" s="908"/>
      <c r="CC117" s="908"/>
      <c r="CD117" s="908"/>
      <c r="CE117" s="908"/>
      <c r="CF117" s="908"/>
      <c r="CG117" s="908"/>
      <c r="CH117" s="908"/>
      <c r="CI117" s="908"/>
      <c r="CJ117" s="908"/>
      <c r="CK117" s="908"/>
      <c r="CL117" s="908"/>
      <c r="CM117" s="908"/>
      <c r="CN117" s="908"/>
      <c r="CO117" s="908"/>
      <c r="CP117" s="912"/>
      <c r="CQ117" s="912"/>
      <c r="CR117" s="913"/>
      <c r="CS117" s="914"/>
      <c r="CT117" s="914"/>
    </row>
    <row r="118" spans="1:98" ht="12.75" customHeight="1" hidden="1">
      <c r="A118" s="918">
        <v>1</v>
      </c>
      <c r="B118" s="918">
        <v>93</v>
      </c>
      <c r="C118" s="919">
        <v>2</v>
      </c>
      <c r="D118" s="920" t="s">
        <v>40</v>
      </c>
      <c r="E118" s="919">
        <v>2</v>
      </c>
      <c r="F118" s="920" t="s">
        <v>40</v>
      </c>
      <c r="G118" s="921"/>
      <c r="H118" s="909"/>
      <c r="I118" s="909"/>
      <c r="J118" s="910"/>
      <c r="K118" s="910"/>
      <c r="L118" s="911"/>
      <c r="M118" s="911"/>
      <c r="N118" s="908"/>
      <c r="O118" s="908"/>
      <c r="P118" s="908"/>
      <c r="Q118" s="908"/>
      <c r="R118" s="908"/>
      <c r="S118" s="908"/>
      <c r="T118" s="908"/>
      <c r="U118" s="908"/>
      <c r="V118" s="908"/>
      <c r="W118" s="908"/>
      <c r="X118" s="908"/>
      <c r="Y118" s="908"/>
      <c r="Z118" s="908"/>
      <c r="AA118" s="908"/>
      <c r="AB118" s="908"/>
      <c r="AC118" s="908"/>
      <c r="AD118" s="908"/>
      <c r="AE118" s="908"/>
      <c r="AF118" s="908"/>
      <c r="AG118" s="908"/>
      <c r="AH118" s="908"/>
      <c r="AI118" s="908"/>
      <c r="AJ118" s="908"/>
      <c r="AK118" s="908"/>
      <c r="AL118" s="908"/>
      <c r="AM118" s="908"/>
      <c r="AN118" s="908"/>
      <c r="AO118" s="908"/>
      <c r="AP118" s="908"/>
      <c r="AQ118" s="908"/>
      <c r="AR118" s="908"/>
      <c r="AS118" s="908"/>
      <c r="AT118" s="908"/>
      <c r="AU118" s="908"/>
      <c r="AV118" s="908"/>
      <c r="AW118" s="908"/>
      <c r="AX118" s="908"/>
      <c r="AY118" s="908"/>
      <c r="AZ118" s="908"/>
      <c r="BA118" s="908"/>
      <c r="BB118" s="908"/>
      <c r="BC118" s="908"/>
      <c r="BD118" s="908"/>
      <c r="BE118" s="908"/>
      <c r="BF118" s="908"/>
      <c r="BG118" s="908"/>
      <c r="BH118" s="908"/>
      <c r="BI118" s="908"/>
      <c r="BJ118" s="908"/>
      <c r="BK118" s="908"/>
      <c r="BL118" s="908"/>
      <c r="BM118" s="908"/>
      <c r="BN118" s="908"/>
      <c r="BO118" s="908"/>
      <c r="BP118" s="908"/>
      <c r="BQ118" s="908"/>
      <c r="BR118" s="908"/>
      <c r="BS118" s="908"/>
      <c r="BT118" s="908"/>
      <c r="BU118" s="908"/>
      <c r="BV118" s="908"/>
      <c r="BW118" s="908"/>
      <c r="BX118" s="908"/>
      <c r="BY118" s="908"/>
      <c r="BZ118" s="908"/>
      <c r="CA118" s="908"/>
      <c r="CB118" s="908"/>
      <c r="CC118" s="908"/>
      <c r="CD118" s="908"/>
      <c r="CE118" s="908"/>
      <c r="CF118" s="908"/>
      <c r="CG118" s="908"/>
      <c r="CH118" s="908"/>
      <c r="CI118" s="908"/>
      <c r="CJ118" s="908"/>
      <c r="CK118" s="908"/>
      <c r="CL118" s="908"/>
      <c r="CM118" s="908"/>
      <c r="CN118" s="908"/>
      <c r="CO118" s="908"/>
      <c r="CP118" s="912"/>
      <c r="CQ118" s="912"/>
      <c r="CR118" s="913"/>
      <c r="CS118" s="914"/>
      <c r="CT118" s="914"/>
    </row>
    <row r="119" spans="1:98" ht="51" customHeight="1" hidden="1">
      <c r="A119" s="918" t="s">
        <v>180</v>
      </c>
      <c r="B119" s="918" t="s">
        <v>109</v>
      </c>
      <c r="C119" s="918" t="s">
        <v>5</v>
      </c>
      <c r="D119" s="922" t="s">
        <v>210</v>
      </c>
      <c r="E119" s="918" t="s">
        <v>5</v>
      </c>
      <c r="F119" s="922" t="s">
        <v>210</v>
      </c>
      <c r="G119" s="923"/>
      <c r="H119" s="909"/>
      <c r="I119" s="909"/>
      <c r="J119" s="910"/>
      <c r="K119" s="910"/>
      <c r="L119" s="911"/>
      <c r="M119" s="911"/>
      <c r="N119" s="908"/>
      <c r="O119" s="908"/>
      <c r="P119" s="908"/>
      <c r="Q119" s="908"/>
      <c r="R119" s="908"/>
      <c r="S119" s="908"/>
      <c r="T119" s="908"/>
      <c r="U119" s="908"/>
      <c r="V119" s="908"/>
      <c r="W119" s="908"/>
      <c r="X119" s="908"/>
      <c r="Y119" s="908"/>
      <c r="Z119" s="908"/>
      <c r="AA119" s="908"/>
      <c r="AB119" s="908"/>
      <c r="AC119" s="908"/>
      <c r="AD119" s="908"/>
      <c r="AE119" s="908"/>
      <c r="AF119" s="908"/>
      <c r="AG119" s="908"/>
      <c r="AH119" s="908"/>
      <c r="AI119" s="908"/>
      <c r="AJ119" s="908"/>
      <c r="AK119" s="908"/>
      <c r="AL119" s="908"/>
      <c r="AM119" s="908"/>
      <c r="AN119" s="908"/>
      <c r="AO119" s="908"/>
      <c r="AP119" s="908"/>
      <c r="AQ119" s="908"/>
      <c r="AR119" s="908"/>
      <c r="AS119" s="908"/>
      <c r="AT119" s="908"/>
      <c r="AU119" s="908"/>
      <c r="AV119" s="908"/>
      <c r="AW119" s="908"/>
      <c r="AX119" s="908"/>
      <c r="AY119" s="908"/>
      <c r="AZ119" s="908"/>
      <c r="BA119" s="908"/>
      <c r="BB119" s="908"/>
      <c r="BC119" s="908"/>
      <c r="BD119" s="908"/>
      <c r="BE119" s="908"/>
      <c r="BF119" s="908"/>
      <c r="BG119" s="908"/>
      <c r="BH119" s="908"/>
      <c r="BI119" s="908"/>
      <c r="BJ119" s="908"/>
      <c r="BK119" s="908"/>
      <c r="BL119" s="908"/>
      <c r="BM119" s="908"/>
      <c r="BN119" s="908"/>
      <c r="BO119" s="908"/>
      <c r="BP119" s="908"/>
      <c r="BQ119" s="908"/>
      <c r="BR119" s="908"/>
      <c r="BS119" s="908"/>
      <c r="BT119" s="908"/>
      <c r="BU119" s="908"/>
      <c r="BV119" s="908"/>
      <c r="BW119" s="908"/>
      <c r="BX119" s="908"/>
      <c r="BY119" s="908"/>
      <c r="BZ119" s="908"/>
      <c r="CA119" s="908"/>
      <c r="CB119" s="908"/>
      <c r="CC119" s="908"/>
      <c r="CD119" s="908"/>
      <c r="CE119" s="908"/>
      <c r="CF119" s="908"/>
      <c r="CG119" s="908"/>
      <c r="CH119" s="908"/>
      <c r="CI119" s="908"/>
      <c r="CJ119" s="908"/>
      <c r="CK119" s="908"/>
      <c r="CL119" s="908"/>
      <c r="CM119" s="908"/>
      <c r="CN119" s="908"/>
      <c r="CO119" s="908"/>
      <c r="CP119" s="912"/>
      <c r="CQ119" s="912"/>
      <c r="CR119" s="913"/>
      <c r="CS119" s="914"/>
      <c r="CT119" s="914"/>
    </row>
    <row r="120" spans="1:98" ht="12.75" customHeight="1" hidden="1">
      <c r="A120" s="918">
        <v>1</v>
      </c>
      <c r="B120" s="918">
        <v>102</v>
      </c>
      <c r="C120" s="909"/>
      <c r="D120" s="909"/>
      <c r="E120" s="909"/>
      <c r="F120" s="909"/>
      <c r="G120" s="909"/>
      <c r="H120" s="909"/>
      <c r="I120" s="909"/>
      <c r="J120" s="910"/>
      <c r="K120" s="910"/>
      <c r="L120" s="911"/>
      <c r="M120" s="911"/>
      <c r="N120" s="908"/>
      <c r="O120" s="908"/>
      <c r="P120" s="908"/>
      <c r="Q120" s="908"/>
      <c r="R120" s="908"/>
      <c r="S120" s="908"/>
      <c r="T120" s="908"/>
      <c r="U120" s="908"/>
      <c r="V120" s="908"/>
      <c r="W120" s="908"/>
      <c r="X120" s="908"/>
      <c r="Y120" s="908"/>
      <c r="Z120" s="908"/>
      <c r="AA120" s="908"/>
      <c r="AB120" s="908"/>
      <c r="AC120" s="908"/>
      <c r="AD120" s="908"/>
      <c r="AE120" s="908"/>
      <c r="AF120" s="908"/>
      <c r="AG120" s="908"/>
      <c r="AH120" s="908"/>
      <c r="AI120" s="908"/>
      <c r="AJ120" s="908"/>
      <c r="AK120" s="908"/>
      <c r="AL120" s="908"/>
      <c r="AM120" s="908"/>
      <c r="AN120" s="908"/>
      <c r="AO120" s="908"/>
      <c r="AP120" s="908"/>
      <c r="AQ120" s="908"/>
      <c r="AR120" s="908"/>
      <c r="AS120" s="908"/>
      <c r="AT120" s="908"/>
      <c r="AU120" s="908"/>
      <c r="AV120" s="908"/>
      <c r="AW120" s="908"/>
      <c r="AX120" s="908"/>
      <c r="AY120" s="908"/>
      <c r="AZ120" s="908"/>
      <c r="BA120" s="908"/>
      <c r="BB120" s="908"/>
      <c r="BC120" s="908"/>
      <c r="BD120" s="908"/>
      <c r="BE120" s="908"/>
      <c r="BF120" s="908"/>
      <c r="BG120" s="908"/>
      <c r="BH120" s="908"/>
      <c r="BI120" s="908"/>
      <c r="BJ120" s="908"/>
      <c r="BK120" s="908"/>
      <c r="BL120" s="908"/>
      <c r="BM120" s="908"/>
      <c r="BN120" s="908"/>
      <c r="BO120" s="908"/>
      <c r="BP120" s="908"/>
      <c r="BQ120" s="908"/>
      <c r="BR120" s="908"/>
      <c r="BS120" s="908"/>
      <c r="BT120" s="908"/>
      <c r="BU120" s="908"/>
      <c r="BV120" s="908"/>
      <c r="BW120" s="908"/>
      <c r="BX120" s="908"/>
      <c r="BY120" s="908"/>
      <c r="BZ120" s="908"/>
      <c r="CA120" s="908"/>
      <c r="CB120" s="908"/>
      <c r="CC120" s="908"/>
      <c r="CD120" s="908"/>
      <c r="CE120" s="908"/>
      <c r="CF120" s="908"/>
      <c r="CG120" s="908"/>
      <c r="CH120" s="908"/>
      <c r="CI120" s="908"/>
      <c r="CJ120" s="908"/>
      <c r="CK120" s="908"/>
      <c r="CL120" s="908"/>
      <c r="CM120" s="908"/>
      <c r="CN120" s="908"/>
      <c r="CO120" s="908"/>
      <c r="CP120" s="912"/>
      <c r="CQ120" s="912"/>
      <c r="CR120" s="913"/>
      <c r="CS120" s="914"/>
      <c r="CT120" s="914"/>
    </row>
    <row r="121" spans="1:98" ht="12.75" customHeight="1" hidden="1">
      <c r="A121" s="918" t="s">
        <v>180</v>
      </c>
      <c r="B121" s="918" t="s">
        <v>109</v>
      </c>
      <c r="C121" s="909"/>
      <c r="D121" s="909"/>
      <c r="E121" s="909"/>
      <c r="F121" s="909"/>
      <c r="G121" s="909"/>
      <c r="H121" s="909"/>
      <c r="I121" s="909"/>
      <c r="J121" s="910"/>
      <c r="K121" s="910"/>
      <c r="L121" s="911"/>
      <c r="M121" s="911"/>
      <c r="N121" s="908"/>
      <c r="O121" s="908"/>
      <c r="P121" s="908"/>
      <c r="Q121" s="908"/>
      <c r="R121" s="908"/>
      <c r="S121" s="908"/>
      <c r="T121" s="908"/>
      <c r="U121" s="908"/>
      <c r="V121" s="908"/>
      <c r="W121" s="908"/>
      <c r="X121" s="908"/>
      <c r="Y121" s="908"/>
      <c r="Z121" s="908"/>
      <c r="AA121" s="908"/>
      <c r="AB121" s="908"/>
      <c r="AC121" s="908"/>
      <c r="AD121" s="908"/>
      <c r="AE121" s="908"/>
      <c r="AF121" s="908"/>
      <c r="AG121" s="908"/>
      <c r="AH121" s="908"/>
      <c r="AI121" s="908"/>
      <c r="AJ121" s="908"/>
      <c r="AK121" s="908"/>
      <c r="AL121" s="908"/>
      <c r="AM121" s="908"/>
      <c r="AN121" s="908"/>
      <c r="AO121" s="908"/>
      <c r="AP121" s="908"/>
      <c r="AQ121" s="908"/>
      <c r="AR121" s="908"/>
      <c r="AS121" s="908"/>
      <c r="AT121" s="908"/>
      <c r="AU121" s="908"/>
      <c r="AV121" s="908"/>
      <c r="AW121" s="908"/>
      <c r="AX121" s="908"/>
      <c r="AY121" s="908"/>
      <c r="AZ121" s="908"/>
      <c r="BA121" s="908"/>
      <c r="BB121" s="908"/>
      <c r="BC121" s="908"/>
      <c r="BD121" s="908"/>
      <c r="BE121" s="908"/>
      <c r="BF121" s="908"/>
      <c r="BG121" s="908"/>
      <c r="BH121" s="908"/>
      <c r="BI121" s="908"/>
      <c r="BJ121" s="908"/>
      <c r="BK121" s="908"/>
      <c r="BL121" s="908"/>
      <c r="BM121" s="908"/>
      <c r="BN121" s="908"/>
      <c r="BO121" s="908"/>
      <c r="BP121" s="908"/>
      <c r="BQ121" s="908"/>
      <c r="BR121" s="908"/>
      <c r="BS121" s="908"/>
      <c r="BT121" s="908"/>
      <c r="BU121" s="908"/>
      <c r="BV121" s="908"/>
      <c r="BW121" s="908"/>
      <c r="BX121" s="908"/>
      <c r="BY121" s="908"/>
      <c r="BZ121" s="908"/>
      <c r="CA121" s="908"/>
      <c r="CB121" s="908"/>
      <c r="CC121" s="908"/>
      <c r="CD121" s="908"/>
      <c r="CE121" s="908"/>
      <c r="CF121" s="908"/>
      <c r="CG121" s="908"/>
      <c r="CH121" s="908"/>
      <c r="CI121" s="908"/>
      <c r="CJ121" s="908"/>
      <c r="CK121" s="908"/>
      <c r="CL121" s="908"/>
      <c r="CM121" s="908"/>
      <c r="CN121" s="908"/>
      <c r="CO121" s="908"/>
      <c r="CP121" s="912"/>
      <c r="CQ121" s="912"/>
      <c r="CR121" s="913"/>
      <c r="CS121" s="914"/>
      <c r="CT121" s="914"/>
    </row>
    <row r="122" spans="1:98" ht="12.75" customHeight="1" hidden="1">
      <c r="A122" s="908"/>
      <c r="B122" s="908"/>
      <c r="C122" s="908"/>
      <c r="D122" s="909"/>
      <c r="E122" s="909"/>
      <c r="F122" s="909"/>
      <c r="G122" s="909"/>
      <c r="H122" s="909"/>
      <c r="I122" s="909"/>
      <c r="J122" s="910"/>
      <c r="K122" s="910"/>
      <c r="L122" s="911"/>
      <c r="M122" s="911"/>
      <c r="N122" s="908"/>
      <c r="O122" s="908"/>
      <c r="P122" s="908"/>
      <c r="Q122" s="908"/>
      <c r="R122" s="908"/>
      <c r="S122" s="908"/>
      <c r="T122" s="908"/>
      <c r="U122" s="908"/>
      <c r="V122" s="908"/>
      <c r="W122" s="908"/>
      <c r="X122" s="908"/>
      <c r="Y122" s="908"/>
      <c r="Z122" s="908"/>
      <c r="AA122" s="908"/>
      <c r="AB122" s="908"/>
      <c r="AC122" s="908"/>
      <c r="AD122" s="908"/>
      <c r="AE122" s="908"/>
      <c r="AF122" s="908"/>
      <c r="AG122" s="908"/>
      <c r="AH122" s="908"/>
      <c r="AI122" s="908"/>
      <c r="AJ122" s="908"/>
      <c r="AK122" s="908"/>
      <c r="AL122" s="908"/>
      <c r="AM122" s="908"/>
      <c r="AN122" s="908"/>
      <c r="AO122" s="908"/>
      <c r="AP122" s="908"/>
      <c r="AQ122" s="908"/>
      <c r="AR122" s="908"/>
      <c r="AS122" s="908"/>
      <c r="AT122" s="908"/>
      <c r="AU122" s="908"/>
      <c r="AV122" s="908"/>
      <c r="AW122" s="908"/>
      <c r="AX122" s="908"/>
      <c r="AY122" s="908"/>
      <c r="AZ122" s="908"/>
      <c r="BA122" s="908"/>
      <c r="BB122" s="908"/>
      <c r="BC122" s="908"/>
      <c r="BD122" s="908"/>
      <c r="BE122" s="908"/>
      <c r="BF122" s="908"/>
      <c r="BG122" s="908"/>
      <c r="BH122" s="908"/>
      <c r="BI122" s="908"/>
      <c r="BJ122" s="908"/>
      <c r="BK122" s="908"/>
      <c r="BL122" s="908"/>
      <c r="BM122" s="908"/>
      <c r="BN122" s="908"/>
      <c r="BO122" s="908"/>
      <c r="BP122" s="908"/>
      <c r="BQ122" s="908"/>
      <c r="BR122" s="908"/>
      <c r="BS122" s="908"/>
      <c r="BT122" s="908"/>
      <c r="BU122" s="908"/>
      <c r="BV122" s="908"/>
      <c r="BW122" s="908"/>
      <c r="BX122" s="908"/>
      <c r="BY122" s="908"/>
      <c r="BZ122" s="908"/>
      <c r="CA122" s="908"/>
      <c r="CB122" s="908"/>
      <c r="CC122" s="908"/>
      <c r="CD122" s="908"/>
      <c r="CE122" s="908"/>
      <c r="CF122" s="908"/>
      <c r="CG122" s="908"/>
      <c r="CH122" s="908"/>
      <c r="CI122" s="908"/>
      <c r="CJ122" s="908"/>
      <c r="CK122" s="908"/>
      <c r="CL122" s="908"/>
      <c r="CM122" s="908"/>
      <c r="CN122" s="908"/>
      <c r="CO122" s="908"/>
      <c r="CP122" s="912"/>
      <c r="CQ122" s="912"/>
      <c r="CR122" s="913"/>
      <c r="CS122" s="914"/>
      <c r="CT122" s="914"/>
    </row>
    <row r="123" spans="1:98" ht="12.75" customHeight="1" hidden="1">
      <c r="A123" s="908"/>
      <c r="B123" s="924" t="s">
        <v>371</v>
      </c>
      <c r="C123" s="924"/>
      <c r="D123" s="925">
        <f>SUM(W123:BX123)</f>
        <v>116</v>
      </c>
      <c r="E123" s="909"/>
      <c r="F123" s="909"/>
      <c r="G123" s="909"/>
      <c r="H123" s="909"/>
      <c r="I123" s="909"/>
      <c r="J123" s="910"/>
      <c r="K123" s="910"/>
      <c r="L123" s="911"/>
      <c r="M123" s="911"/>
      <c r="N123" s="908"/>
      <c r="O123" s="908"/>
      <c r="P123" s="908"/>
      <c r="Q123" s="908"/>
      <c r="R123" s="908"/>
      <c r="S123" s="908"/>
      <c r="T123" s="908"/>
      <c r="U123" s="908"/>
      <c r="V123" s="908"/>
      <c r="W123" s="911">
        <v>30</v>
      </c>
      <c r="X123" s="908"/>
      <c r="Y123" s="908"/>
      <c r="Z123" s="908"/>
      <c r="AA123" s="908"/>
      <c r="AB123" s="908"/>
      <c r="AC123" s="908"/>
      <c r="AD123" s="908"/>
      <c r="AE123" s="908"/>
      <c r="AF123" s="908"/>
      <c r="AG123" s="908"/>
      <c r="AH123" s="908"/>
      <c r="AI123" s="908"/>
      <c r="AJ123" s="908"/>
      <c r="AK123" s="911">
        <v>39</v>
      </c>
      <c r="AL123" s="908"/>
      <c r="AM123" s="908"/>
      <c r="AN123" s="908"/>
      <c r="AO123" s="908"/>
      <c r="AP123" s="908"/>
      <c r="AQ123" s="908"/>
      <c r="AR123" s="908"/>
      <c r="AS123" s="908"/>
      <c r="AT123" s="908"/>
      <c r="AU123" s="908"/>
      <c r="AV123" s="908"/>
      <c r="AW123" s="908"/>
      <c r="AX123" s="908"/>
      <c r="AY123" s="911">
        <v>30</v>
      </c>
      <c r="AZ123" s="908"/>
      <c r="BA123" s="908"/>
      <c r="BB123" s="908"/>
      <c r="BC123" s="908"/>
      <c r="BD123" s="908"/>
      <c r="BE123" s="908"/>
      <c r="BF123" s="908"/>
      <c r="BG123" s="908"/>
      <c r="BH123" s="908"/>
      <c r="BI123" s="908"/>
      <c r="BJ123" s="926"/>
      <c r="BK123" s="908"/>
      <c r="BL123" s="908"/>
      <c r="BM123" s="911">
        <v>17</v>
      </c>
      <c r="BN123" s="908"/>
      <c r="BO123" s="908"/>
      <c r="BP123" s="908"/>
      <c r="BQ123" s="908"/>
      <c r="BR123" s="908"/>
      <c r="BS123" s="908"/>
      <c r="BT123" s="908"/>
      <c r="BU123" s="908"/>
      <c r="BV123" s="908"/>
      <c r="BW123" s="908"/>
      <c r="BX123" s="908"/>
      <c r="BY123" s="908"/>
      <c r="BZ123" s="908"/>
      <c r="CA123" s="908"/>
      <c r="CB123" s="908"/>
      <c r="CC123" s="908"/>
      <c r="CD123" s="908"/>
      <c r="CE123" s="908"/>
      <c r="CF123" s="908"/>
      <c r="CG123" s="912"/>
      <c r="CH123" s="914"/>
      <c r="CI123" s="914"/>
      <c r="CJ123" s="914"/>
      <c r="CK123" s="914"/>
      <c r="CL123" s="914"/>
      <c r="CM123" s="914"/>
      <c r="CN123" s="914"/>
      <c r="CO123" s="914"/>
      <c r="CP123" s="914"/>
      <c r="CQ123" s="914"/>
      <c r="CR123" s="913"/>
      <c r="CS123" s="914"/>
      <c r="CT123" s="914"/>
    </row>
    <row r="124" spans="1:98" ht="12.75" customHeight="1" hidden="1">
      <c r="A124" s="908"/>
      <c r="B124" s="908"/>
      <c r="C124" s="908"/>
      <c r="D124" s="909"/>
      <c r="E124" s="909"/>
      <c r="F124" s="909"/>
      <c r="G124" s="909"/>
      <c r="H124" s="909"/>
      <c r="I124" s="909"/>
      <c r="J124" s="910"/>
      <c r="K124" s="910"/>
      <c r="L124" s="911"/>
      <c r="M124" s="911"/>
      <c r="N124" s="908"/>
      <c r="O124" s="908"/>
      <c r="P124" s="908"/>
      <c r="Q124" s="908"/>
      <c r="R124" s="908"/>
      <c r="S124" s="908"/>
      <c r="T124" s="908"/>
      <c r="U124" s="908"/>
      <c r="V124" s="908"/>
      <c r="W124" s="927"/>
      <c r="X124" s="908"/>
      <c r="Y124" s="908"/>
      <c r="Z124" s="908"/>
      <c r="AA124" s="908"/>
      <c r="AB124" s="908"/>
      <c r="AC124" s="908"/>
      <c r="AD124" s="908"/>
      <c r="AE124" s="908"/>
      <c r="AF124" s="908"/>
      <c r="AG124" s="908"/>
      <c r="AH124" s="908"/>
      <c r="AI124" s="908"/>
      <c r="AJ124" s="908"/>
      <c r="AK124" s="927"/>
      <c r="AL124" s="908"/>
      <c r="AM124" s="908"/>
      <c r="AN124" s="908"/>
      <c r="AO124" s="908"/>
      <c r="AP124" s="908"/>
      <c r="AQ124" s="908"/>
      <c r="AR124" s="908"/>
      <c r="AS124" s="908"/>
      <c r="AT124" s="908"/>
      <c r="AU124" s="908"/>
      <c r="AV124" s="908"/>
      <c r="AW124" s="908"/>
      <c r="AX124" s="908"/>
      <c r="AY124" s="927"/>
      <c r="AZ124" s="908"/>
      <c r="BA124" s="908"/>
      <c r="BB124" s="908"/>
      <c r="BC124" s="908"/>
      <c r="BD124" s="908"/>
      <c r="BE124" s="908"/>
      <c r="BF124" s="908"/>
      <c r="BG124" s="908"/>
      <c r="BH124" s="908"/>
      <c r="BI124" s="908"/>
      <c r="BJ124" s="926"/>
      <c r="BK124" s="908"/>
      <c r="BL124" s="908"/>
      <c r="BM124" s="927"/>
      <c r="BN124" s="908"/>
      <c r="BO124" s="908"/>
      <c r="BP124" s="908"/>
      <c r="BQ124" s="908"/>
      <c r="BR124" s="908"/>
      <c r="BS124" s="908"/>
      <c r="BT124" s="908"/>
      <c r="BU124" s="908"/>
      <c r="BV124" s="908"/>
      <c r="BW124" s="908"/>
      <c r="BX124" s="908"/>
      <c r="BY124" s="908"/>
      <c r="BZ124" s="908"/>
      <c r="CA124" s="908"/>
      <c r="CB124" s="908"/>
      <c r="CC124" s="908"/>
      <c r="CD124" s="908"/>
      <c r="CE124" s="908"/>
      <c r="CF124" s="908"/>
      <c r="CG124" s="912"/>
      <c r="CH124" s="914"/>
      <c r="CI124" s="914"/>
      <c r="CJ124" s="914"/>
      <c r="CK124" s="914"/>
      <c r="CL124" s="914"/>
      <c r="CM124" s="914"/>
      <c r="CN124" s="914"/>
      <c r="CO124" s="914"/>
      <c r="CP124" s="914"/>
      <c r="CQ124" s="914"/>
      <c r="CR124" s="913"/>
      <c r="CS124" s="914"/>
      <c r="CT124" s="914"/>
    </row>
    <row r="125" spans="1:98" ht="12.75" customHeight="1" hidden="1">
      <c r="A125" s="908"/>
      <c r="B125" s="908"/>
      <c r="C125" s="908"/>
      <c r="D125" s="909"/>
      <c r="E125" s="909"/>
      <c r="F125" s="909"/>
      <c r="G125" s="909"/>
      <c r="H125" s="909"/>
      <c r="I125" s="909"/>
      <c r="J125" s="910"/>
      <c r="K125" s="910"/>
      <c r="L125" s="911"/>
      <c r="M125" s="911"/>
      <c r="N125" s="908"/>
      <c r="O125" s="908"/>
      <c r="P125" s="908"/>
      <c r="Q125" s="908"/>
      <c r="R125" s="908"/>
      <c r="S125" s="908"/>
      <c r="T125" s="908"/>
      <c r="U125" s="908"/>
      <c r="V125" s="908"/>
      <c r="W125" s="927"/>
      <c r="X125" s="908"/>
      <c r="Y125" s="908"/>
      <c r="Z125" s="908"/>
      <c r="AA125" s="908"/>
      <c r="AB125" s="908"/>
      <c r="AC125" s="908"/>
      <c r="AD125" s="908"/>
      <c r="AE125" s="908"/>
      <c r="AF125" s="908"/>
      <c r="AG125" s="908"/>
      <c r="AH125" s="908"/>
      <c r="AI125" s="908"/>
      <c r="AJ125" s="908"/>
      <c r="AK125" s="927"/>
      <c r="AL125" s="908"/>
      <c r="AM125" s="908"/>
      <c r="AN125" s="908"/>
      <c r="AO125" s="908"/>
      <c r="AP125" s="908"/>
      <c r="AQ125" s="908"/>
      <c r="AR125" s="908"/>
      <c r="AS125" s="908"/>
      <c r="AT125" s="908"/>
      <c r="AU125" s="908"/>
      <c r="AV125" s="908"/>
      <c r="AW125" s="908"/>
      <c r="AX125" s="908"/>
      <c r="AY125" s="927"/>
      <c r="AZ125" s="908"/>
      <c r="BA125" s="908"/>
      <c r="BB125" s="908"/>
      <c r="BC125" s="908"/>
      <c r="BD125" s="908"/>
      <c r="BE125" s="908"/>
      <c r="BF125" s="908"/>
      <c r="BG125" s="908"/>
      <c r="BH125" s="908"/>
      <c r="BI125" s="908"/>
      <c r="BJ125" s="926"/>
      <c r="BK125" s="908"/>
      <c r="BL125" s="908"/>
      <c r="BM125" s="927"/>
      <c r="BN125" s="908"/>
      <c r="BO125" s="908"/>
      <c r="BP125" s="908"/>
      <c r="BQ125" s="908"/>
      <c r="BR125" s="908"/>
      <c r="BS125" s="908"/>
      <c r="BT125" s="908"/>
      <c r="BU125" s="908"/>
      <c r="BV125" s="908"/>
      <c r="BW125" s="908"/>
      <c r="BX125" s="908"/>
      <c r="BY125" s="908"/>
      <c r="BZ125" s="908"/>
      <c r="CA125" s="908"/>
      <c r="CB125" s="908"/>
      <c r="CC125" s="908"/>
      <c r="CD125" s="908"/>
      <c r="CE125" s="908"/>
      <c r="CF125" s="908"/>
      <c r="CG125" s="912"/>
      <c r="CH125" s="914"/>
      <c r="CI125" s="914"/>
      <c r="CJ125" s="914"/>
      <c r="CK125" s="914"/>
      <c r="CL125" s="914"/>
      <c r="CM125" s="914"/>
      <c r="CN125" s="914"/>
      <c r="CO125" s="914"/>
      <c r="CP125" s="914"/>
      <c r="CQ125" s="914"/>
      <c r="CR125" s="913"/>
      <c r="CS125" s="914"/>
      <c r="CT125" s="914"/>
    </row>
    <row r="126" spans="1:98" ht="12.75" customHeight="1" hidden="1">
      <c r="A126" s="908"/>
      <c r="B126" s="908"/>
      <c r="C126" s="908"/>
      <c r="D126" s="909"/>
      <c r="E126" s="909"/>
      <c r="F126" s="909"/>
      <c r="G126" s="909"/>
      <c r="H126" s="909"/>
      <c r="I126" s="909"/>
      <c r="J126" s="910"/>
      <c r="K126" s="910"/>
      <c r="L126" s="911"/>
      <c r="M126" s="911"/>
      <c r="N126" s="908"/>
      <c r="O126" s="908"/>
      <c r="P126" s="908"/>
      <c r="Q126" s="908"/>
      <c r="R126" s="908"/>
      <c r="S126" s="908"/>
      <c r="T126" s="908"/>
      <c r="U126" s="908"/>
      <c r="V126" s="908"/>
      <c r="W126" s="927"/>
      <c r="X126" s="908"/>
      <c r="Y126" s="908"/>
      <c r="Z126" s="908"/>
      <c r="AA126" s="908"/>
      <c r="AB126" s="908"/>
      <c r="AC126" s="908"/>
      <c r="AD126" s="908"/>
      <c r="AE126" s="908"/>
      <c r="AF126" s="908"/>
      <c r="AG126" s="908"/>
      <c r="AH126" s="908"/>
      <c r="AI126" s="908"/>
      <c r="AJ126" s="908"/>
      <c r="AK126" s="927"/>
      <c r="AL126" s="908"/>
      <c r="AM126" s="908"/>
      <c r="AN126" s="908"/>
      <c r="AO126" s="908"/>
      <c r="AP126" s="908"/>
      <c r="AQ126" s="908"/>
      <c r="AR126" s="908"/>
      <c r="AS126" s="908"/>
      <c r="AT126" s="908"/>
      <c r="AU126" s="908"/>
      <c r="AV126" s="908"/>
      <c r="AW126" s="908"/>
      <c r="AX126" s="908"/>
      <c r="AY126" s="927"/>
      <c r="AZ126" s="908"/>
      <c r="BA126" s="908"/>
      <c r="BB126" s="908"/>
      <c r="BC126" s="908"/>
      <c r="BD126" s="908"/>
      <c r="BE126" s="908"/>
      <c r="BF126" s="908"/>
      <c r="BG126" s="908"/>
      <c r="BH126" s="908"/>
      <c r="BI126" s="908"/>
      <c r="BJ126" s="926"/>
      <c r="BK126" s="908"/>
      <c r="BL126" s="908"/>
      <c r="BM126" s="927"/>
      <c r="BN126" s="908"/>
      <c r="BO126" s="908"/>
      <c r="BP126" s="908"/>
      <c r="BQ126" s="908"/>
      <c r="BR126" s="908"/>
      <c r="BS126" s="908"/>
      <c r="BT126" s="908"/>
      <c r="BU126" s="908"/>
      <c r="BV126" s="908"/>
      <c r="BW126" s="908"/>
      <c r="BX126" s="908"/>
      <c r="BY126" s="908"/>
      <c r="BZ126" s="908"/>
      <c r="CA126" s="908"/>
      <c r="CB126" s="908"/>
      <c r="CC126" s="908"/>
      <c r="CD126" s="908"/>
      <c r="CE126" s="908"/>
      <c r="CF126" s="908"/>
      <c r="CG126" s="912"/>
      <c r="CH126" s="914"/>
      <c r="CI126" s="914"/>
      <c r="CJ126" s="914"/>
      <c r="CK126" s="914"/>
      <c r="CL126" s="914"/>
      <c r="CM126" s="914"/>
      <c r="CN126" s="914"/>
      <c r="CO126" s="914"/>
      <c r="CP126" s="914"/>
      <c r="CQ126" s="914"/>
      <c r="CR126" s="913"/>
      <c r="CS126" s="914"/>
      <c r="CT126" s="914"/>
    </row>
    <row r="127" spans="1:98" ht="15.75" customHeight="1" hidden="1">
      <c r="A127" s="908"/>
      <c r="B127" s="162" t="s">
        <v>372</v>
      </c>
      <c r="C127" s="908"/>
      <c r="D127" s="909"/>
      <c r="E127" s="909"/>
      <c r="F127" s="909"/>
      <c r="G127" s="909"/>
      <c r="H127" s="909"/>
      <c r="I127" s="909"/>
      <c r="J127" s="910"/>
      <c r="K127" s="910"/>
      <c r="L127" s="911"/>
      <c r="M127" s="911"/>
      <c r="N127" s="908"/>
      <c r="O127" s="908"/>
      <c r="P127" s="908"/>
      <c r="Q127" s="908"/>
      <c r="R127" s="908"/>
      <c r="S127" s="908"/>
      <c r="T127" s="908"/>
      <c r="U127" s="908"/>
      <c r="V127" s="908"/>
      <c r="W127" s="927"/>
      <c r="X127" s="908"/>
      <c r="Y127" s="908"/>
      <c r="Z127" s="908"/>
      <c r="AA127" s="908"/>
      <c r="AB127" s="908"/>
      <c r="AC127" s="908"/>
      <c r="AD127" s="908"/>
      <c r="AE127" s="908"/>
      <c r="AF127" s="908"/>
      <c r="AG127" s="908"/>
      <c r="AH127" s="908"/>
      <c r="AI127" s="908"/>
      <c r="AJ127" s="908"/>
      <c r="AK127" s="927"/>
      <c r="AL127" s="908"/>
      <c r="AM127" s="908"/>
      <c r="AN127" s="908"/>
      <c r="AO127" s="908"/>
      <c r="AP127" s="908"/>
      <c r="AQ127" s="908"/>
      <c r="AR127" s="908"/>
      <c r="AS127" s="908"/>
      <c r="AT127" s="908"/>
      <c r="AU127" s="908"/>
      <c r="AV127" s="908"/>
      <c r="AW127" s="908"/>
      <c r="AX127" s="908"/>
      <c r="AY127" s="927"/>
      <c r="AZ127" s="908"/>
      <c r="BA127" s="908"/>
      <c r="BB127" s="908"/>
      <c r="BC127" s="928"/>
      <c r="BD127" s="908"/>
      <c r="BE127" s="908"/>
      <c r="BF127" s="908"/>
      <c r="BG127" s="908"/>
      <c r="BH127" s="908"/>
      <c r="BI127" s="908"/>
      <c r="BJ127" s="929"/>
      <c r="BK127" s="908"/>
      <c r="BL127" s="908"/>
      <c r="BM127" s="927"/>
      <c r="BN127" s="928"/>
      <c r="BO127" s="908"/>
      <c r="BP127" s="908"/>
      <c r="BQ127" s="908"/>
      <c r="BR127" s="908"/>
      <c r="BS127" s="908"/>
      <c r="BT127" s="908"/>
      <c r="BU127" s="908"/>
      <c r="BV127" s="908"/>
      <c r="BW127" s="908"/>
      <c r="BX127" s="908"/>
      <c r="BY127" s="908"/>
      <c r="BZ127" s="908"/>
      <c r="CA127" s="908"/>
      <c r="CB127" s="908"/>
      <c r="CC127" s="908"/>
      <c r="CD127" s="908"/>
      <c r="CE127" s="908"/>
      <c r="CF127" s="908"/>
      <c r="CG127" s="912"/>
      <c r="CH127" s="914"/>
      <c r="CI127" s="914"/>
      <c r="CJ127" s="914"/>
      <c r="CK127" s="914"/>
      <c r="CL127" s="914"/>
      <c r="CM127" s="914"/>
      <c r="CN127" s="914"/>
      <c r="CO127" s="914"/>
      <c r="CP127" s="914"/>
      <c r="CQ127" s="914"/>
      <c r="CR127" s="913"/>
      <c r="CS127" s="914"/>
      <c r="CT127" s="914"/>
    </row>
    <row r="128" spans="1:98" ht="15.75" customHeight="1" hidden="1">
      <c r="A128" s="908"/>
      <c r="B128" s="162" t="s">
        <v>373</v>
      </c>
      <c r="C128" s="908"/>
      <c r="D128" s="909"/>
      <c r="E128" s="909"/>
      <c r="F128" s="909"/>
      <c r="G128" s="909"/>
      <c r="H128" s="909"/>
      <c r="I128" s="909"/>
      <c r="J128" s="910"/>
      <c r="K128" s="910"/>
      <c r="L128" s="911"/>
      <c r="M128" s="911"/>
      <c r="N128" s="908"/>
      <c r="O128" s="908"/>
      <c r="P128" s="908"/>
      <c r="Q128" s="908"/>
      <c r="R128" s="908"/>
      <c r="S128" s="908"/>
      <c r="T128" s="908"/>
      <c r="U128" s="908"/>
      <c r="V128" s="908"/>
      <c r="W128" s="927"/>
      <c r="X128" s="908"/>
      <c r="Y128" s="908"/>
      <c r="Z128" s="908"/>
      <c r="AA128" s="908"/>
      <c r="AB128" s="908"/>
      <c r="AC128" s="908"/>
      <c r="AD128" s="908"/>
      <c r="AE128" s="908"/>
      <c r="AF128" s="908"/>
      <c r="AG128" s="908"/>
      <c r="AH128" s="908"/>
      <c r="AI128" s="908"/>
      <c r="AJ128" s="908"/>
      <c r="AK128" s="927"/>
      <c r="AL128" s="908"/>
      <c r="AM128" s="908"/>
      <c r="AN128" s="908"/>
      <c r="AO128" s="908"/>
      <c r="AP128" s="908"/>
      <c r="AQ128" s="908"/>
      <c r="AR128" s="908"/>
      <c r="AS128" s="908"/>
      <c r="AT128" s="908"/>
      <c r="AU128" s="908"/>
      <c r="AV128" s="908"/>
      <c r="AW128" s="908"/>
      <c r="AX128" s="908"/>
      <c r="AY128" s="927"/>
      <c r="AZ128" s="908"/>
      <c r="BA128" s="908"/>
      <c r="BB128" s="908"/>
      <c r="BC128" s="928"/>
      <c r="BD128" s="908"/>
      <c r="BE128" s="908"/>
      <c r="BF128" s="908"/>
      <c r="BG128" s="908"/>
      <c r="BH128" s="908"/>
      <c r="BI128" s="908"/>
      <c r="BJ128" s="929"/>
      <c r="BK128" s="908"/>
      <c r="BL128" s="908"/>
      <c r="BM128" s="927"/>
      <c r="BN128" s="928"/>
      <c r="BO128" s="908"/>
      <c r="BP128" s="908"/>
      <c r="BQ128" s="908"/>
      <c r="BR128" s="908"/>
      <c r="BS128" s="908"/>
      <c r="BT128" s="908"/>
      <c r="BU128" s="908"/>
      <c r="BV128" s="908"/>
      <c r="BW128" s="908"/>
      <c r="BX128" s="908"/>
      <c r="BY128" s="908"/>
      <c r="BZ128" s="908"/>
      <c r="CA128" s="908"/>
      <c r="CB128" s="908"/>
      <c r="CC128" s="908"/>
      <c r="CD128" s="908"/>
      <c r="CE128" s="908"/>
      <c r="CF128" s="908"/>
      <c r="CG128" s="912"/>
      <c r="CH128" s="914"/>
      <c r="CI128" s="914"/>
      <c r="CJ128" s="914"/>
      <c r="CK128" s="914"/>
      <c r="CL128" s="914"/>
      <c r="CM128" s="914"/>
      <c r="CN128" s="914"/>
      <c r="CO128" s="914"/>
      <c r="CP128" s="914"/>
      <c r="CQ128" s="914"/>
      <c r="CR128" s="913"/>
      <c r="CS128" s="914"/>
      <c r="CT128" s="914"/>
    </row>
    <row r="129" spans="1:98" ht="25.5" customHeight="1" hidden="1">
      <c r="A129" s="908"/>
      <c r="B129" s="162" t="s">
        <v>370</v>
      </c>
      <c r="C129" s="908"/>
      <c r="D129" s="909"/>
      <c r="E129" s="909"/>
      <c r="F129" s="909"/>
      <c r="G129" s="909"/>
      <c r="H129" s="909"/>
      <c r="I129" s="909"/>
      <c r="J129" s="910"/>
      <c r="K129" s="910"/>
      <c r="L129" s="911"/>
      <c r="M129" s="911"/>
      <c r="N129" s="908"/>
      <c r="O129" s="908"/>
      <c r="P129" s="908"/>
      <c r="Q129" s="908"/>
      <c r="R129" s="908"/>
      <c r="S129" s="908"/>
      <c r="T129" s="908"/>
      <c r="U129" s="908"/>
      <c r="V129" s="908"/>
      <c r="W129" s="927"/>
      <c r="X129" s="908"/>
      <c r="Y129" s="908"/>
      <c r="Z129" s="908"/>
      <c r="AA129" s="908"/>
      <c r="AB129" s="908"/>
      <c r="AC129" s="908"/>
      <c r="AD129" s="908"/>
      <c r="AE129" s="908"/>
      <c r="AF129" s="908"/>
      <c r="AG129" s="908"/>
      <c r="AH129" s="908"/>
      <c r="AI129" s="908"/>
      <c r="AJ129" s="908"/>
      <c r="AK129" s="927"/>
      <c r="AL129" s="908"/>
      <c r="AM129" s="908"/>
      <c r="AN129" s="908"/>
      <c r="AO129" s="908"/>
      <c r="AP129" s="908"/>
      <c r="AQ129" s="908"/>
      <c r="AR129" s="908"/>
      <c r="AS129" s="908"/>
      <c r="AT129" s="908"/>
      <c r="AU129" s="908"/>
      <c r="AV129" s="908"/>
      <c r="AW129" s="908"/>
      <c r="AX129" s="908"/>
      <c r="AY129" s="927"/>
      <c r="AZ129" s="908"/>
      <c r="BA129" s="908"/>
      <c r="BB129" s="908"/>
      <c r="BC129" s="928"/>
      <c r="BD129" s="908"/>
      <c r="BE129" s="908"/>
      <c r="BF129" s="908"/>
      <c r="BG129" s="908"/>
      <c r="BH129" s="908"/>
      <c r="BI129" s="908"/>
      <c r="BJ129" s="163"/>
      <c r="BK129" s="908"/>
      <c r="BL129" s="908"/>
      <c r="BM129" s="927"/>
      <c r="BN129" s="928"/>
      <c r="BO129" s="908"/>
      <c r="BP129" s="908"/>
      <c r="BQ129" s="908"/>
      <c r="BR129" s="908"/>
      <c r="BS129" s="908"/>
      <c r="BT129" s="908"/>
      <c r="BU129" s="908"/>
      <c r="BV129" s="908"/>
      <c r="BW129" s="908"/>
      <c r="BX129" s="908"/>
      <c r="BY129" s="908"/>
      <c r="BZ129" s="908"/>
      <c r="CA129" s="908"/>
      <c r="CB129" s="908"/>
      <c r="CC129" s="908"/>
      <c r="CD129" s="908"/>
      <c r="CE129" s="908"/>
      <c r="CF129" s="908"/>
      <c r="CG129" s="912"/>
      <c r="CH129" s="914"/>
      <c r="CI129" s="914"/>
      <c r="CJ129" s="914"/>
      <c r="CK129" s="914"/>
      <c r="CL129" s="914"/>
      <c r="CM129" s="914"/>
      <c r="CN129" s="914"/>
      <c r="CO129" s="914"/>
      <c r="CP129" s="914"/>
      <c r="CQ129" s="914"/>
      <c r="CR129" s="913"/>
      <c r="CS129" s="914"/>
      <c r="CT129" s="914"/>
    </row>
    <row r="130" spans="1:98" ht="15.75" customHeight="1" hidden="1">
      <c r="A130" s="908"/>
      <c r="B130" s="908"/>
      <c r="C130" s="908"/>
      <c r="D130" s="909"/>
      <c r="E130" s="909"/>
      <c r="F130" s="909"/>
      <c r="G130" s="909"/>
      <c r="H130" s="909"/>
      <c r="I130" s="909"/>
      <c r="J130" s="910"/>
      <c r="K130" s="910"/>
      <c r="L130" s="911"/>
      <c r="M130" s="911"/>
      <c r="N130" s="908"/>
      <c r="O130" s="908"/>
      <c r="P130" s="908"/>
      <c r="Q130" s="908"/>
      <c r="R130" s="908"/>
      <c r="S130" s="908"/>
      <c r="T130" s="908"/>
      <c r="U130" s="908"/>
      <c r="V130" s="908"/>
      <c r="W130" s="927"/>
      <c r="X130" s="908"/>
      <c r="Y130" s="908"/>
      <c r="Z130" s="908"/>
      <c r="AA130" s="908"/>
      <c r="AB130" s="908"/>
      <c r="AC130" s="908"/>
      <c r="AD130" s="908"/>
      <c r="AE130" s="908"/>
      <c r="AF130" s="908"/>
      <c r="AG130" s="908"/>
      <c r="AH130" s="908"/>
      <c r="AI130" s="908"/>
      <c r="AJ130" s="908"/>
      <c r="AK130" s="908"/>
      <c r="AL130" s="908"/>
      <c r="AM130" s="908"/>
      <c r="AN130" s="908"/>
      <c r="AO130" s="908"/>
      <c r="AP130" s="908"/>
      <c r="AQ130" s="908"/>
      <c r="AR130" s="908"/>
      <c r="AS130" s="908"/>
      <c r="AT130" s="908"/>
      <c r="AU130" s="908"/>
      <c r="AV130" s="908"/>
      <c r="AW130" s="908"/>
      <c r="AX130" s="908"/>
      <c r="AY130" s="908"/>
      <c r="AZ130" s="908"/>
      <c r="BA130" s="908"/>
      <c r="BB130" s="908"/>
      <c r="BC130" s="928"/>
      <c r="BD130" s="908"/>
      <c r="BE130" s="908"/>
      <c r="BF130" s="908"/>
      <c r="BG130" s="908"/>
      <c r="BH130" s="908"/>
      <c r="BI130" s="908"/>
      <c r="BJ130" s="928"/>
      <c r="BK130" s="908"/>
      <c r="BL130" s="908"/>
      <c r="BM130" s="908"/>
      <c r="BN130" s="928"/>
      <c r="BO130" s="908"/>
      <c r="BP130" s="908"/>
      <c r="BQ130" s="908"/>
      <c r="BR130" s="908"/>
      <c r="BS130" s="908"/>
      <c r="BT130" s="908"/>
      <c r="BU130" s="908"/>
      <c r="BV130" s="908"/>
      <c r="BW130" s="908"/>
      <c r="BX130" s="908"/>
      <c r="BY130" s="908"/>
      <c r="BZ130" s="908"/>
      <c r="CA130" s="908"/>
      <c r="CB130" s="908"/>
      <c r="CC130" s="908"/>
      <c r="CD130" s="908"/>
      <c r="CE130" s="908"/>
      <c r="CF130" s="908"/>
      <c r="CG130" s="912"/>
      <c r="CH130" s="914"/>
      <c r="CI130" s="914"/>
      <c r="CJ130" s="914"/>
      <c r="CK130" s="914"/>
      <c r="CL130" s="914"/>
      <c r="CM130" s="914"/>
      <c r="CN130" s="914"/>
      <c r="CO130" s="914"/>
      <c r="CP130" s="914"/>
      <c r="CQ130" s="914"/>
      <c r="CR130" s="913"/>
      <c r="CS130" s="914"/>
      <c r="CT130" s="914"/>
    </row>
    <row r="131" spans="1:98" ht="15.75" customHeight="1" hidden="1">
      <c r="A131" s="908"/>
      <c r="B131" s="908"/>
      <c r="C131" s="908"/>
      <c r="D131" s="909"/>
      <c r="E131" s="909"/>
      <c r="F131" s="909"/>
      <c r="G131" s="909"/>
      <c r="H131" s="909"/>
      <c r="I131" s="909"/>
      <c r="J131" s="910"/>
      <c r="K131" s="910"/>
      <c r="L131" s="911"/>
      <c r="M131" s="911"/>
      <c r="N131" s="908"/>
      <c r="O131" s="908"/>
      <c r="P131" s="908"/>
      <c r="Q131" s="908"/>
      <c r="R131" s="908"/>
      <c r="S131" s="908"/>
      <c r="T131" s="908"/>
      <c r="U131" s="908"/>
      <c r="V131" s="908"/>
      <c r="W131" s="908"/>
      <c r="X131" s="908"/>
      <c r="Y131" s="908"/>
      <c r="Z131" s="908"/>
      <c r="AA131" s="908"/>
      <c r="AB131" s="908"/>
      <c r="AC131" s="908"/>
      <c r="AD131" s="908"/>
      <c r="AE131" s="908"/>
      <c r="AF131" s="908"/>
      <c r="AG131" s="908"/>
      <c r="AH131" s="908"/>
      <c r="AI131" s="908"/>
      <c r="AJ131" s="908"/>
      <c r="AK131" s="908"/>
      <c r="AL131" s="908"/>
      <c r="AM131" s="908"/>
      <c r="AN131" s="908"/>
      <c r="AO131" s="908"/>
      <c r="AP131" s="908"/>
      <c r="AQ131" s="908"/>
      <c r="AR131" s="908"/>
      <c r="AS131" s="908"/>
      <c r="AT131" s="908"/>
      <c r="AU131" s="908"/>
      <c r="AV131" s="908"/>
      <c r="AW131" s="908"/>
      <c r="AX131" s="908"/>
      <c r="AY131" s="908"/>
      <c r="AZ131" s="908"/>
      <c r="BA131" s="908"/>
      <c r="BB131" s="908"/>
      <c r="BC131" s="928"/>
      <c r="BD131" s="908"/>
      <c r="BE131" s="908"/>
      <c r="BF131" s="908"/>
      <c r="BG131" s="908"/>
      <c r="BH131" s="908"/>
      <c r="BI131" s="908"/>
      <c r="BJ131" s="928"/>
      <c r="BK131" s="908"/>
      <c r="BL131" s="908"/>
      <c r="BM131" s="908"/>
      <c r="BN131" s="928"/>
      <c r="BO131" s="908"/>
      <c r="BP131" s="908"/>
      <c r="BQ131" s="908"/>
      <c r="BR131" s="908"/>
      <c r="BS131" s="908"/>
      <c r="BT131" s="908"/>
      <c r="BU131" s="908"/>
      <c r="BV131" s="908"/>
      <c r="BW131" s="908"/>
      <c r="BX131" s="908"/>
      <c r="BY131" s="908"/>
      <c r="BZ131" s="908"/>
      <c r="CA131" s="908"/>
      <c r="CB131" s="908"/>
      <c r="CC131" s="908"/>
      <c r="CD131" s="908"/>
      <c r="CE131" s="908"/>
      <c r="CF131" s="908"/>
      <c r="CG131" s="912"/>
      <c r="CH131" s="914"/>
      <c r="CI131" s="914"/>
      <c r="CJ131" s="914"/>
      <c r="CK131" s="914"/>
      <c r="CL131" s="914"/>
      <c r="CM131" s="914"/>
      <c r="CN131" s="914"/>
      <c r="CO131" s="914"/>
      <c r="CP131" s="914"/>
      <c r="CQ131" s="914"/>
      <c r="CR131" s="913"/>
      <c r="CS131" s="914"/>
      <c r="CT131" s="914"/>
    </row>
    <row r="132" spans="1:98" ht="12.75" customHeight="1" hidden="1">
      <c r="A132" s="908"/>
      <c r="B132" s="908"/>
      <c r="C132" s="908"/>
      <c r="D132" s="909"/>
      <c r="E132" s="909"/>
      <c r="F132" s="909"/>
      <c r="G132" s="909"/>
      <c r="H132" s="909"/>
      <c r="I132" s="909"/>
      <c r="J132" s="910"/>
      <c r="K132" s="910"/>
      <c r="L132" s="911"/>
      <c r="M132" s="911"/>
      <c r="N132" s="908"/>
      <c r="O132" s="908"/>
      <c r="P132" s="908"/>
      <c r="Q132" s="908"/>
      <c r="R132" s="908"/>
      <c r="S132" s="908"/>
      <c r="T132" s="908"/>
      <c r="U132" s="908"/>
      <c r="V132" s="908"/>
      <c r="W132" s="908"/>
      <c r="X132" s="908"/>
      <c r="Y132" s="908"/>
      <c r="Z132" s="908"/>
      <c r="AA132" s="908"/>
      <c r="AB132" s="908"/>
      <c r="AC132" s="908"/>
      <c r="AD132" s="908"/>
      <c r="AE132" s="908"/>
      <c r="AF132" s="908"/>
      <c r="AG132" s="908"/>
      <c r="AH132" s="908"/>
      <c r="AI132" s="908"/>
      <c r="AJ132" s="908"/>
      <c r="AK132" s="908"/>
      <c r="AL132" s="908"/>
      <c r="AM132" s="908"/>
      <c r="AN132" s="908"/>
      <c r="AO132" s="908"/>
      <c r="AP132" s="908"/>
      <c r="AQ132" s="908"/>
      <c r="AR132" s="908"/>
      <c r="AS132" s="908"/>
      <c r="AT132" s="908"/>
      <c r="AU132" s="908"/>
      <c r="AV132" s="908"/>
      <c r="AW132" s="908"/>
      <c r="AX132" s="908"/>
      <c r="AY132" s="908"/>
      <c r="AZ132" s="908"/>
      <c r="BA132" s="908"/>
      <c r="BB132" s="908"/>
      <c r="BC132" s="908"/>
      <c r="BD132" s="908"/>
      <c r="BE132" s="908"/>
      <c r="BF132" s="908"/>
      <c r="BG132" s="908"/>
      <c r="BH132" s="908"/>
      <c r="BI132" s="908"/>
      <c r="BJ132" s="908"/>
      <c r="BK132" s="908"/>
      <c r="BL132" s="908"/>
      <c r="BM132" s="908"/>
      <c r="BN132" s="908"/>
      <c r="BO132" s="908"/>
      <c r="BP132" s="908"/>
      <c r="BQ132" s="908"/>
      <c r="BR132" s="908"/>
      <c r="BS132" s="908"/>
      <c r="BT132" s="908"/>
      <c r="BU132" s="908"/>
      <c r="BV132" s="908"/>
      <c r="BW132" s="908"/>
      <c r="BX132" s="908"/>
      <c r="BY132" s="908"/>
      <c r="BZ132" s="908"/>
      <c r="CA132" s="908"/>
      <c r="CB132" s="908"/>
      <c r="CC132" s="908"/>
      <c r="CD132" s="908"/>
      <c r="CE132" s="908"/>
      <c r="CF132" s="908"/>
      <c r="CG132" s="912"/>
      <c r="CH132" s="914"/>
      <c r="CI132" s="914"/>
      <c r="CJ132" s="914"/>
      <c r="CK132" s="914"/>
      <c r="CL132" s="914"/>
      <c r="CM132" s="914"/>
      <c r="CN132" s="914"/>
      <c r="CO132" s="914"/>
      <c r="CP132" s="914"/>
      <c r="CQ132" s="914"/>
      <c r="CR132" s="913"/>
      <c r="CS132" s="914"/>
      <c r="CT132" s="914"/>
    </row>
    <row r="133" spans="1:98" ht="12.75" customHeight="1" hidden="1">
      <c r="A133" s="908"/>
      <c r="B133" s="908"/>
      <c r="C133" s="908"/>
      <c r="D133" s="909"/>
      <c r="E133" s="909"/>
      <c r="F133" s="909"/>
      <c r="G133" s="909"/>
      <c r="H133" s="909"/>
      <c r="I133" s="909"/>
      <c r="J133" s="910"/>
      <c r="K133" s="910"/>
      <c r="L133" s="911"/>
      <c r="M133" s="911"/>
      <c r="N133" s="908"/>
      <c r="O133" s="908"/>
      <c r="P133" s="908"/>
      <c r="Q133" s="908"/>
      <c r="R133" s="908"/>
      <c r="S133" s="908"/>
      <c r="T133" s="908"/>
      <c r="U133" s="908"/>
      <c r="V133" s="908"/>
      <c r="W133" s="908"/>
      <c r="X133" s="908"/>
      <c r="Y133" s="908"/>
      <c r="Z133" s="908"/>
      <c r="AA133" s="908"/>
      <c r="AB133" s="908"/>
      <c r="AC133" s="908"/>
      <c r="AD133" s="908"/>
      <c r="AE133" s="908"/>
      <c r="AF133" s="908"/>
      <c r="AG133" s="908"/>
      <c r="AH133" s="908"/>
      <c r="AI133" s="908"/>
      <c r="AJ133" s="908"/>
      <c r="AK133" s="908"/>
      <c r="AL133" s="908"/>
      <c r="AM133" s="908"/>
      <c r="AN133" s="908"/>
      <c r="AO133" s="908"/>
      <c r="AP133" s="908"/>
      <c r="AQ133" s="908"/>
      <c r="AR133" s="908"/>
      <c r="AS133" s="908"/>
      <c r="AT133" s="908"/>
      <c r="AU133" s="908"/>
      <c r="AV133" s="908"/>
      <c r="AW133" s="908"/>
      <c r="AX133" s="908"/>
      <c r="AY133" s="908"/>
      <c r="AZ133" s="908"/>
      <c r="BA133" s="908"/>
      <c r="BB133" s="908"/>
      <c r="BC133" s="908"/>
      <c r="BD133" s="908"/>
      <c r="BE133" s="908"/>
      <c r="BF133" s="908"/>
      <c r="BG133" s="908"/>
      <c r="BH133" s="908"/>
      <c r="BI133" s="908"/>
      <c r="BJ133" s="908"/>
      <c r="BK133" s="908"/>
      <c r="BL133" s="908"/>
      <c r="BM133" s="908"/>
      <c r="BN133" s="908"/>
      <c r="BO133" s="908"/>
      <c r="BP133" s="908"/>
      <c r="BQ133" s="908"/>
      <c r="BR133" s="908"/>
      <c r="BS133" s="908"/>
      <c r="BT133" s="908"/>
      <c r="BU133" s="908"/>
      <c r="BV133" s="908"/>
      <c r="BW133" s="908"/>
      <c r="BX133" s="908"/>
      <c r="BY133" s="908"/>
      <c r="BZ133" s="908"/>
      <c r="CA133" s="908"/>
      <c r="CB133" s="908"/>
      <c r="CC133" s="908"/>
      <c r="CD133" s="908"/>
      <c r="CE133" s="908"/>
      <c r="CF133" s="908"/>
      <c r="CG133" s="912"/>
      <c r="CH133" s="914"/>
      <c r="CI133" s="914"/>
      <c r="CJ133" s="914"/>
      <c r="CK133" s="914"/>
      <c r="CL133" s="914"/>
      <c r="CM133" s="914"/>
      <c r="CN133" s="914"/>
      <c r="CO133" s="914"/>
      <c r="CP133" s="914"/>
      <c r="CQ133" s="914"/>
      <c r="CR133" s="913"/>
      <c r="CS133" s="914"/>
      <c r="CT133" s="914"/>
    </row>
    <row r="134" spans="1:98" ht="12.75" customHeight="1" hidden="1">
      <c r="A134" s="908"/>
      <c r="B134" s="924" t="s">
        <v>368</v>
      </c>
      <c r="C134" s="924"/>
      <c r="D134" s="930">
        <f>SUM(V127:BX127)</f>
        <v>0</v>
      </c>
      <c r="E134" s="909"/>
      <c r="F134" s="909"/>
      <c r="G134" s="909"/>
      <c r="H134" s="909"/>
      <c r="I134" s="909"/>
      <c r="J134" s="910"/>
      <c r="K134" s="910"/>
      <c r="L134" s="911"/>
      <c r="M134" s="911"/>
      <c r="N134" s="908"/>
      <c r="O134" s="908"/>
      <c r="P134" s="908"/>
      <c r="Q134" s="908"/>
      <c r="R134" s="908"/>
      <c r="S134" s="908"/>
      <c r="T134" s="908"/>
      <c r="U134" s="908"/>
      <c r="V134" s="908"/>
      <c r="W134" s="908"/>
      <c r="X134" s="908"/>
      <c r="Y134" s="908"/>
      <c r="Z134" s="908"/>
      <c r="AA134" s="908"/>
      <c r="AB134" s="908"/>
      <c r="AC134" s="908"/>
      <c r="AD134" s="908"/>
      <c r="AE134" s="908"/>
      <c r="AF134" s="908"/>
      <c r="AG134" s="908"/>
      <c r="AH134" s="908"/>
      <c r="AI134" s="908"/>
      <c r="AJ134" s="908"/>
      <c r="AK134" s="908"/>
      <c r="AL134" s="908"/>
      <c r="AM134" s="908"/>
      <c r="AN134" s="908"/>
      <c r="AO134" s="908"/>
      <c r="AP134" s="908"/>
      <c r="AQ134" s="908"/>
      <c r="AR134" s="908"/>
      <c r="AS134" s="908"/>
      <c r="AT134" s="908"/>
      <c r="AU134" s="908"/>
      <c r="AV134" s="908"/>
      <c r="AW134" s="908"/>
      <c r="AX134" s="908"/>
      <c r="AY134" s="908"/>
      <c r="AZ134" s="908"/>
      <c r="BA134" s="908"/>
      <c r="BB134" s="908"/>
      <c r="BC134" s="908"/>
      <c r="BD134" s="908"/>
      <c r="BE134" s="908"/>
      <c r="BF134" s="908"/>
      <c r="BG134" s="908"/>
      <c r="BH134" s="908"/>
      <c r="BI134" s="908"/>
      <c r="BJ134" s="908"/>
      <c r="BK134" s="908"/>
      <c r="BL134" s="908"/>
      <c r="BM134" s="908"/>
      <c r="BN134" s="908"/>
      <c r="BO134" s="908"/>
      <c r="BP134" s="908"/>
      <c r="BQ134" s="908"/>
      <c r="BR134" s="908"/>
      <c r="BS134" s="908"/>
      <c r="BT134" s="908"/>
      <c r="BU134" s="908"/>
      <c r="BV134" s="908"/>
      <c r="BW134" s="908"/>
      <c r="BX134" s="908"/>
      <c r="BY134" s="908"/>
      <c r="BZ134" s="908"/>
      <c r="CA134" s="908"/>
      <c r="CB134" s="908"/>
      <c r="CC134" s="908"/>
      <c r="CD134" s="908"/>
      <c r="CE134" s="908"/>
      <c r="CF134" s="908"/>
      <c r="CG134" s="912"/>
      <c r="CH134" s="914"/>
      <c r="CI134" s="914"/>
      <c r="CJ134" s="914"/>
      <c r="CK134" s="914"/>
      <c r="CL134" s="914"/>
      <c r="CM134" s="914"/>
      <c r="CN134" s="914"/>
      <c r="CO134" s="914"/>
      <c r="CP134" s="914"/>
      <c r="CQ134" s="914"/>
      <c r="CR134" s="913"/>
      <c r="CS134" s="914"/>
      <c r="CT134" s="914"/>
    </row>
    <row r="135" spans="1:98" ht="12.75" customHeight="1" hidden="1">
      <c r="A135" s="908"/>
      <c r="B135" s="924" t="s">
        <v>369</v>
      </c>
      <c r="C135" s="924"/>
      <c r="D135" s="930">
        <f>D134/720</f>
        <v>0</v>
      </c>
      <c r="E135" s="927">
        <f>SUM(V128:CQ128,BY128)</f>
        <v>0</v>
      </c>
      <c r="F135" s="909"/>
      <c r="G135" s="909"/>
      <c r="H135" s="909"/>
      <c r="I135" s="909"/>
      <c r="J135" s="910"/>
      <c r="K135" s="910"/>
      <c r="L135" s="911"/>
      <c r="M135" s="911"/>
      <c r="N135" s="908"/>
      <c r="O135" s="908"/>
      <c r="P135" s="908"/>
      <c r="Q135" s="908"/>
      <c r="R135" s="908"/>
      <c r="S135" s="908"/>
      <c r="T135" s="908"/>
      <c r="U135" s="908"/>
      <c r="V135" s="908"/>
      <c r="W135" s="908"/>
      <c r="X135" s="908"/>
      <c r="Y135" s="908"/>
      <c r="Z135" s="908"/>
      <c r="AA135" s="908"/>
      <c r="AB135" s="908"/>
      <c r="AC135" s="908"/>
      <c r="AD135" s="908"/>
      <c r="AE135" s="908"/>
      <c r="AF135" s="908"/>
      <c r="AG135" s="908"/>
      <c r="AH135" s="908"/>
      <c r="AI135" s="908"/>
      <c r="AJ135" s="908"/>
      <c r="AK135" s="908"/>
      <c r="AL135" s="908"/>
      <c r="AM135" s="908"/>
      <c r="AN135" s="908"/>
      <c r="AO135" s="908"/>
      <c r="AP135" s="908"/>
      <c r="AQ135" s="908"/>
      <c r="AR135" s="908"/>
      <c r="AS135" s="908"/>
      <c r="AT135" s="908"/>
      <c r="AU135" s="908"/>
      <c r="AV135" s="908"/>
      <c r="AW135" s="908"/>
      <c r="AX135" s="908"/>
      <c r="AY135" s="908"/>
      <c r="AZ135" s="908"/>
      <c r="BA135" s="908"/>
      <c r="BB135" s="908"/>
      <c r="BC135" s="908"/>
      <c r="BD135" s="908"/>
      <c r="BE135" s="908"/>
      <c r="BF135" s="908"/>
      <c r="BG135" s="908"/>
      <c r="BH135" s="908"/>
      <c r="BI135" s="908"/>
      <c r="BJ135" s="908"/>
      <c r="BK135" s="908"/>
      <c r="BL135" s="908"/>
      <c r="BM135" s="908"/>
      <c r="BN135" s="908"/>
      <c r="BO135" s="908"/>
      <c r="BP135" s="908"/>
      <c r="BQ135" s="908"/>
      <c r="BR135" s="908"/>
      <c r="BS135" s="908"/>
      <c r="BT135" s="908"/>
      <c r="BU135" s="908"/>
      <c r="BV135" s="908"/>
      <c r="BW135" s="908"/>
      <c r="BX135" s="908"/>
      <c r="BY135" s="908"/>
      <c r="BZ135" s="908"/>
      <c r="CA135" s="908"/>
      <c r="CB135" s="908"/>
      <c r="CC135" s="908"/>
      <c r="CD135" s="908"/>
      <c r="CE135" s="908"/>
      <c r="CF135" s="908"/>
      <c r="CG135" s="912"/>
      <c r="CH135" s="914"/>
      <c r="CI135" s="914"/>
      <c r="CJ135" s="914"/>
      <c r="CK135" s="914"/>
      <c r="CL135" s="914"/>
      <c r="CM135" s="914"/>
      <c r="CN135" s="914"/>
      <c r="CO135" s="914"/>
      <c r="CP135" s="914"/>
      <c r="CQ135" s="914"/>
      <c r="CR135" s="913"/>
      <c r="CS135" s="914"/>
      <c r="CT135" s="914"/>
    </row>
    <row r="136" spans="1:98" ht="12.75" customHeight="1" hidden="1">
      <c r="A136" s="908"/>
      <c r="B136" s="924"/>
      <c r="C136" s="924"/>
      <c r="D136" s="931"/>
      <c r="E136" s="909"/>
      <c r="F136" s="909"/>
      <c r="G136" s="909"/>
      <c r="H136" s="909"/>
      <c r="I136" s="909"/>
      <c r="J136" s="910"/>
      <c r="K136" s="910"/>
      <c r="L136" s="911"/>
      <c r="M136" s="911"/>
      <c r="N136" s="908"/>
      <c r="O136" s="908"/>
      <c r="P136" s="908"/>
      <c r="Q136" s="908"/>
      <c r="R136" s="908"/>
      <c r="S136" s="908"/>
      <c r="T136" s="908"/>
      <c r="U136" s="908"/>
      <c r="V136" s="908"/>
      <c r="W136" s="908"/>
      <c r="X136" s="908"/>
      <c r="Y136" s="908"/>
      <c r="Z136" s="908"/>
      <c r="AA136" s="908"/>
      <c r="AB136" s="908"/>
      <c r="AC136" s="908"/>
      <c r="AD136" s="908"/>
      <c r="AE136" s="908"/>
      <c r="AF136" s="908"/>
      <c r="AG136" s="908"/>
      <c r="AH136" s="908"/>
      <c r="AI136" s="908"/>
      <c r="AJ136" s="908"/>
      <c r="AK136" s="908"/>
      <c r="AL136" s="908"/>
      <c r="AM136" s="908"/>
      <c r="AN136" s="908"/>
      <c r="AO136" s="908"/>
      <c r="AP136" s="908"/>
      <c r="AQ136" s="908"/>
      <c r="AR136" s="908"/>
      <c r="AS136" s="908"/>
      <c r="AT136" s="908"/>
      <c r="AU136" s="908"/>
      <c r="AV136" s="908"/>
      <c r="AW136" s="908"/>
      <c r="AX136" s="908"/>
      <c r="AY136" s="908"/>
      <c r="AZ136" s="908"/>
      <c r="BA136" s="908"/>
      <c r="BB136" s="908"/>
      <c r="BC136" s="908"/>
      <c r="BD136" s="908"/>
      <c r="BE136" s="908"/>
      <c r="BF136" s="908"/>
      <c r="BG136" s="908"/>
      <c r="BH136" s="908"/>
      <c r="BI136" s="908"/>
      <c r="BJ136" s="908"/>
      <c r="BK136" s="908"/>
      <c r="BL136" s="908"/>
      <c r="BM136" s="908"/>
      <c r="BN136" s="908"/>
      <c r="BO136" s="908"/>
      <c r="BP136" s="908"/>
      <c r="BQ136" s="908"/>
      <c r="BR136" s="908"/>
      <c r="BS136" s="908"/>
      <c r="BT136" s="908"/>
      <c r="BU136" s="908"/>
      <c r="BV136" s="908"/>
      <c r="BW136" s="908"/>
      <c r="BX136" s="908"/>
      <c r="BY136" s="908"/>
      <c r="BZ136" s="908"/>
      <c r="CA136" s="908"/>
      <c r="CB136" s="908"/>
      <c r="CC136" s="908"/>
      <c r="CD136" s="908"/>
      <c r="CE136" s="908"/>
      <c r="CF136" s="908"/>
      <c r="CG136" s="912"/>
      <c r="CH136" s="914"/>
      <c r="CI136" s="914"/>
      <c r="CJ136" s="914"/>
      <c r="CK136" s="914"/>
      <c r="CL136" s="914"/>
      <c r="CM136" s="914"/>
      <c r="CN136" s="914"/>
      <c r="CO136" s="914"/>
      <c r="CP136" s="914"/>
      <c r="CQ136" s="914"/>
      <c r="CR136" s="913"/>
      <c r="CS136" s="914"/>
      <c r="CT136" s="914"/>
    </row>
    <row r="137" spans="1:98" ht="25.5" customHeight="1" hidden="1">
      <c r="A137" s="908"/>
      <c r="B137" s="924" t="s">
        <v>370</v>
      </c>
      <c r="C137" s="924"/>
      <c r="D137" s="932" t="e">
        <f>D123/D135</f>
        <v>#DIV/0!</v>
      </c>
      <c r="E137" s="927" t="e">
        <f>D123/E135</f>
        <v>#DIV/0!</v>
      </c>
      <c r="F137" s="909"/>
      <c r="G137" s="909"/>
      <c r="H137" s="909"/>
      <c r="I137" s="909"/>
      <c r="J137" s="910"/>
      <c r="K137" s="910"/>
      <c r="L137" s="911"/>
      <c r="M137" s="911"/>
      <c r="N137" s="908"/>
      <c r="O137" s="908"/>
      <c r="P137" s="908"/>
      <c r="Q137" s="908"/>
      <c r="R137" s="908"/>
      <c r="S137" s="908"/>
      <c r="T137" s="908"/>
      <c r="U137" s="908"/>
      <c r="V137" s="908"/>
      <c r="W137" s="908"/>
      <c r="X137" s="908"/>
      <c r="Y137" s="908"/>
      <c r="Z137" s="908"/>
      <c r="AA137" s="908"/>
      <c r="AB137" s="908"/>
      <c r="AC137" s="908"/>
      <c r="AD137" s="908"/>
      <c r="AE137" s="908"/>
      <c r="AF137" s="908"/>
      <c r="AG137" s="908"/>
      <c r="AH137" s="908"/>
      <c r="AI137" s="908"/>
      <c r="AJ137" s="908"/>
      <c r="AK137" s="908"/>
      <c r="AL137" s="908"/>
      <c r="AM137" s="908"/>
      <c r="AN137" s="908"/>
      <c r="AO137" s="908"/>
      <c r="AP137" s="908"/>
      <c r="AQ137" s="908"/>
      <c r="AR137" s="908"/>
      <c r="AS137" s="908"/>
      <c r="AT137" s="908"/>
      <c r="AU137" s="908"/>
      <c r="AV137" s="908"/>
      <c r="AW137" s="908"/>
      <c r="AX137" s="908"/>
      <c r="AY137" s="908"/>
      <c r="AZ137" s="908"/>
      <c r="BA137" s="908"/>
      <c r="BB137" s="908"/>
      <c r="BC137" s="908"/>
      <c r="BD137" s="908"/>
      <c r="BE137" s="908"/>
      <c r="BF137" s="908"/>
      <c r="BG137" s="908"/>
      <c r="BH137" s="908"/>
      <c r="BI137" s="908"/>
      <c r="BJ137" s="908"/>
      <c r="BK137" s="908"/>
      <c r="BL137" s="908"/>
      <c r="BM137" s="908"/>
      <c r="BN137" s="908"/>
      <c r="BO137" s="908"/>
      <c r="BP137" s="908"/>
      <c r="BQ137" s="908"/>
      <c r="BR137" s="908"/>
      <c r="BS137" s="908"/>
      <c r="BT137" s="908"/>
      <c r="BU137" s="908"/>
      <c r="BV137" s="908"/>
      <c r="BW137" s="908"/>
      <c r="BX137" s="908"/>
      <c r="BY137" s="908"/>
      <c r="BZ137" s="908"/>
      <c r="CA137" s="908"/>
      <c r="CB137" s="908"/>
      <c r="CC137" s="908"/>
      <c r="CD137" s="908"/>
      <c r="CE137" s="908"/>
      <c r="CF137" s="908"/>
      <c r="CG137" s="912"/>
      <c r="CH137" s="914"/>
      <c r="CI137" s="914"/>
      <c r="CJ137" s="914"/>
      <c r="CK137" s="914"/>
      <c r="CL137" s="914"/>
      <c r="CM137" s="914"/>
      <c r="CN137" s="914"/>
      <c r="CO137" s="914"/>
      <c r="CP137" s="914"/>
      <c r="CQ137" s="914"/>
      <c r="CR137" s="913"/>
      <c r="CS137" s="914"/>
      <c r="CT137" s="914"/>
    </row>
    <row r="138" spans="1:98" ht="12.75" hidden="1">
      <c r="A138" s="908"/>
      <c r="B138" s="908"/>
      <c r="C138" s="908"/>
      <c r="D138" s="909"/>
      <c r="E138" s="909"/>
      <c r="F138" s="909"/>
      <c r="G138" s="909"/>
      <c r="H138" s="909"/>
      <c r="I138" s="909"/>
      <c r="J138" s="910"/>
      <c r="K138" s="910"/>
      <c r="L138" s="911"/>
      <c r="M138" s="911"/>
      <c r="N138" s="908"/>
      <c r="O138" s="908"/>
      <c r="P138" s="908"/>
      <c r="Q138" s="908"/>
      <c r="R138" s="908"/>
      <c r="S138" s="908"/>
      <c r="T138" s="908"/>
      <c r="U138" s="908"/>
      <c r="V138" s="908"/>
      <c r="W138" s="908"/>
      <c r="X138" s="908"/>
      <c r="Y138" s="908"/>
      <c r="Z138" s="908"/>
      <c r="AA138" s="908"/>
      <c r="AB138" s="908"/>
      <c r="AC138" s="908"/>
      <c r="AD138" s="908"/>
      <c r="AE138" s="908"/>
      <c r="AF138" s="908"/>
      <c r="AG138" s="908"/>
      <c r="AH138" s="908"/>
      <c r="AI138" s="908"/>
      <c r="AJ138" s="908"/>
      <c r="AK138" s="908"/>
      <c r="AL138" s="908"/>
      <c r="AM138" s="908"/>
      <c r="AN138" s="908"/>
      <c r="AO138" s="908"/>
      <c r="AP138" s="908"/>
      <c r="AQ138" s="908"/>
      <c r="AR138" s="908"/>
      <c r="AS138" s="908"/>
      <c r="AT138" s="908"/>
      <c r="AU138" s="908"/>
      <c r="AV138" s="908"/>
      <c r="AW138" s="908"/>
      <c r="AX138" s="908"/>
      <c r="AY138" s="908"/>
      <c r="AZ138" s="908"/>
      <c r="BA138" s="908"/>
      <c r="BB138" s="908"/>
      <c r="BC138" s="908"/>
      <c r="BD138" s="908"/>
      <c r="BE138" s="908"/>
      <c r="BF138" s="908"/>
      <c r="BG138" s="908"/>
      <c r="BH138" s="908"/>
      <c r="BI138" s="908"/>
      <c r="BJ138" s="908"/>
      <c r="BK138" s="908"/>
      <c r="BL138" s="908"/>
      <c r="BM138" s="908"/>
      <c r="BN138" s="908"/>
      <c r="BO138" s="908"/>
      <c r="BP138" s="908"/>
      <c r="BQ138" s="908"/>
      <c r="BR138" s="908"/>
      <c r="BS138" s="908"/>
      <c r="BT138" s="908"/>
      <c r="BU138" s="908"/>
      <c r="BV138" s="908"/>
      <c r="BW138" s="908"/>
      <c r="BX138" s="908"/>
      <c r="BY138" s="908"/>
      <c r="BZ138" s="908"/>
      <c r="CA138" s="908"/>
      <c r="CB138" s="908"/>
      <c r="CC138" s="908"/>
      <c r="CD138" s="908"/>
      <c r="CE138" s="908"/>
      <c r="CF138" s="908"/>
      <c r="CG138" s="908"/>
      <c r="CH138" s="908"/>
      <c r="CI138" s="908"/>
      <c r="CJ138" s="908"/>
      <c r="CK138" s="908"/>
      <c r="CL138" s="908"/>
      <c r="CM138" s="908"/>
      <c r="CN138" s="908"/>
      <c r="CO138" s="908"/>
      <c r="CP138" s="912"/>
      <c r="CQ138" s="912"/>
      <c r="CR138" s="913"/>
      <c r="CS138" s="914"/>
      <c r="CT138" s="914"/>
    </row>
    <row r="139" spans="1:98" ht="12.75" hidden="1">
      <c r="A139" s="908"/>
      <c r="B139" s="908"/>
      <c r="C139" s="908"/>
      <c r="D139" s="909"/>
      <c r="E139" s="909"/>
      <c r="F139" s="909"/>
      <c r="G139" s="909"/>
      <c r="H139" s="909"/>
      <c r="I139" s="909"/>
      <c r="J139" s="910"/>
      <c r="K139" s="910"/>
      <c r="L139" s="911"/>
      <c r="M139" s="911"/>
      <c r="N139" s="908"/>
      <c r="O139" s="908"/>
      <c r="P139" s="908"/>
      <c r="Q139" s="908"/>
      <c r="R139" s="908"/>
      <c r="S139" s="908"/>
      <c r="T139" s="908"/>
      <c r="U139" s="908"/>
      <c r="V139" s="908"/>
      <c r="W139" s="908"/>
      <c r="X139" s="908"/>
      <c r="Y139" s="908"/>
      <c r="Z139" s="908"/>
      <c r="AA139" s="908"/>
      <c r="AB139" s="908"/>
      <c r="AC139" s="908"/>
      <c r="AD139" s="908"/>
      <c r="AE139" s="908"/>
      <c r="AF139" s="908"/>
      <c r="AG139" s="908"/>
      <c r="AH139" s="908"/>
      <c r="AI139" s="908"/>
      <c r="AJ139" s="908"/>
      <c r="AK139" s="908"/>
      <c r="AL139" s="908"/>
      <c r="AM139" s="908"/>
      <c r="AN139" s="908"/>
      <c r="AO139" s="908"/>
      <c r="AP139" s="908"/>
      <c r="AQ139" s="908"/>
      <c r="AR139" s="908"/>
      <c r="AS139" s="908"/>
      <c r="AT139" s="908"/>
      <c r="AU139" s="908"/>
      <c r="AV139" s="908"/>
      <c r="AW139" s="908"/>
      <c r="AX139" s="908"/>
      <c r="AY139" s="908"/>
      <c r="AZ139" s="908"/>
      <c r="BA139" s="908"/>
      <c r="BB139" s="908"/>
      <c r="BC139" s="908"/>
      <c r="BD139" s="908"/>
      <c r="BE139" s="908"/>
      <c r="BF139" s="908"/>
      <c r="BG139" s="908"/>
      <c r="BH139" s="908"/>
      <c r="BI139" s="908"/>
      <c r="BJ139" s="908"/>
      <c r="BK139" s="908"/>
      <c r="BL139" s="908"/>
      <c r="BM139" s="908"/>
      <c r="BN139" s="908"/>
      <c r="BO139" s="908"/>
      <c r="BP139" s="908"/>
      <c r="BQ139" s="908"/>
      <c r="BR139" s="908"/>
      <c r="BS139" s="908"/>
      <c r="BT139" s="908"/>
      <c r="BU139" s="908"/>
      <c r="BV139" s="908"/>
      <c r="BW139" s="908"/>
      <c r="BX139" s="908"/>
      <c r="BY139" s="908"/>
      <c r="BZ139" s="908"/>
      <c r="CA139" s="908"/>
      <c r="CB139" s="908"/>
      <c r="CC139" s="908"/>
      <c r="CD139" s="908"/>
      <c r="CE139" s="908"/>
      <c r="CF139" s="908"/>
      <c r="CG139" s="908"/>
      <c r="CH139" s="908"/>
      <c r="CI139" s="908"/>
      <c r="CJ139" s="908"/>
      <c r="CK139" s="908"/>
      <c r="CL139" s="908"/>
      <c r="CM139" s="908"/>
      <c r="CN139" s="908"/>
      <c r="CO139" s="908"/>
      <c r="CP139" s="912"/>
      <c r="CQ139" s="912"/>
      <c r="CR139" s="913"/>
      <c r="CS139" s="914"/>
      <c r="CT139" s="914"/>
    </row>
    <row r="140" spans="1:98" ht="20.25" customHeight="1" hidden="1">
      <c r="A140" s="908"/>
      <c r="B140" s="908"/>
      <c r="C140" s="908"/>
      <c r="D140" s="909"/>
      <c r="E140" s="909"/>
      <c r="F140" s="909"/>
      <c r="G140" s="909"/>
      <c r="H140" s="909"/>
      <c r="I140" s="909"/>
      <c r="J140" s="910"/>
      <c r="K140" s="910"/>
      <c r="L140" s="911"/>
      <c r="M140" s="911"/>
      <c r="N140" s="908"/>
      <c r="O140" s="908"/>
      <c r="P140" s="908"/>
      <c r="Q140" s="908"/>
      <c r="R140" s="908"/>
      <c r="S140" s="908"/>
      <c r="T140" s="908"/>
      <c r="U140" s="908"/>
      <c r="V140" s="908"/>
      <c r="W140" s="908"/>
      <c r="X140" s="908"/>
      <c r="Y140" s="908"/>
      <c r="Z140" s="908"/>
      <c r="AA140" s="908"/>
      <c r="AB140" s="908"/>
      <c r="AC140" s="908"/>
      <c r="AD140" s="908"/>
      <c r="AE140" s="908"/>
      <c r="AF140" s="908"/>
      <c r="AG140" s="908"/>
      <c r="AH140" s="908"/>
      <c r="AI140" s="908"/>
      <c r="AJ140" s="908"/>
      <c r="AK140" s="908"/>
      <c r="AL140" s="908"/>
      <c r="AM140" s="908"/>
      <c r="AN140" s="908"/>
      <c r="AO140" s="908"/>
      <c r="AP140" s="908">
        <v>5</v>
      </c>
      <c r="AQ140" s="908"/>
      <c r="AR140" s="908"/>
      <c r="AS140" s="908"/>
      <c r="AT140" s="908"/>
      <c r="AU140" s="908"/>
      <c r="AV140" s="908"/>
      <c r="AW140" s="908">
        <v>5</v>
      </c>
      <c r="AX140" s="908"/>
      <c r="AY140" s="908"/>
      <c r="AZ140" s="908"/>
      <c r="BA140" s="908"/>
      <c r="BB140" s="908"/>
      <c r="BC140" s="908"/>
      <c r="BD140" s="908"/>
      <c r="BE140" s="908"/>
      <c r="BF140" s="908"/>
      <c r="BG140" s="908"/>
      <c r="BH140" s="908"/>
      <c r="BI140" s="908"/>
      <c r="BJ140" s="908"/>
      <c r="BK140" s="908"/>
      <c r="BL140" s="908"/>
      <c r="BM140" s="933" t="s">
        <v>558</v>
      </c>
      <c r="BN140" s="933"/>
      <c r="BO140" s="933"/>
      <c r="BP140" s="908"/>
      <c r="BQ140" s="439">
        <v>2</v>
      </c>
      <c r="BR140" s="908"/>
      <c r="BS140" s="908"/>
      <c r="BT140" s="908"/>
      <c r="BU140" s="908"/>
      <c r="BV140" s="908"/>
      <c r="BW140" s="908"/>
      <c r="BX140" s="438"/>
      <c r="BY140" s="439">
        <v>8</v>
      </c>
      <c r="BZ140" s="908"/>
      <c r="CA140" s="908"/>
      <c r="CB140" s="908"/>
      <c r="CC140" s="908"/>
      <c r="CD140" s="908"/>
      <c r="CE140" s="908"/>
      <c r="CF140" s="908"/>
      <c r="CG140" s="908"/>
      <c r="CH140" s="908"/>
      <c r="CI140" s="908"/>
      <c r="CJ140" s="908"/>
      <c r="CK140" s="908"/>
      <c r="CL140" s="908"/>
      <c r="CM140" s="908"/>
      <c r="CN140" s="908"/>
      <c r="CO140" s="908"/>
      <c r="CP140" s="912"/>
      <c r="CQ140" s="912"/>
      <c r="CR140" s="913"/>
      <c r="CS140" s="914"/>
      <c r="CT140" s="914"/>
    </row>
    <row r="141" spans="1:98" ht="12.75" hidden="1">
      <c r="A141" s="908"/>
      <c r="B141" s="908"/>
      <c r="C141" s="908"/>
      <c r="D141" s="909"/>
      <c r="E141" s="909"/>
      <c r="F141" s="909"/>
      <c r="G141" s="909"/>
      <c r="H141" s="909"/>
      <c r="I141" s="909"/>
      <c r="J141" s="910"/>
      <c r="K141" s="910"/>
      <c r="L141" s="911"/>
      <c r="M141" s="911"/>
      <c r="N141" s="908"/>
      <c r="O141" s="908"/>
      <c r="P141" s="908"/>
      <c r="Q141" s="908"/>
      <c r="R141" s="908"/>
      <c r="S141" s="908"/>
      <c r="T141" s="908"/>
      <c r="U141" s="908"/>
      <c r="V141" s="908"/>
      <c r="W141" s="908"/>
      <c r="X141" s="908"/>
      <c r="Y141" s="908"/>
      <c r="Z141" s="908"/>
      <c r="AA141" s="908"/>
      <c r="AB141" s="908"/>
      <c r="AC141" s="908"/>
      <c r="AD141" s="908"/>
      <c r="AE141" s="908"/>
      <c r="AF141" s="908"/>
      <c r="AG141" s="908"/>
      <c r="AH141" s="908"/>
      <c r="AI141" s="908"/>
      <c r="AJ141" s="908"/>
      <c r="AK141" s="908"/>
      <c r="AL141" s="908"/>
      <c r="AM141" s="908"/>
      <c r="AN141" s="908"/>
      <c r="AO141" s="908"/>
      <c r="AP141" s="908"/>
      <c r="AQ141" s="908"/>
      <c r="AR141" s="908"/>
      <c r="AS141" s="908"/>
      <c r="AT141" s="908"/>
      <c r="AU141" s="908"/>
      <c r="AV141" s="908"/>
      <c r="AW141" s="908"/>
      <c r="AX141" s="908"/>
      <c r="AY141" s="908"/>
      <c r="AZ141" s="908"/>
      <c r="BA141" s="908"/>
      <c r="BB141" s="908"/>
      <c r="BC141" s="908"/>
      <c r="BD141" s="908"/>
      <c r="BE141" s="908"/>
      <c r="BF141" s="908"/>
      <c r="BG141" s="908"/>
      <c r="BH141" s="908"/>
      <c r="BI141" s="908"/>
      <c r="BJ141" s="908"/>
      <c r="BK141" s="908"/>
      <c r="BL141" s="908"/>
      <c r="BM141" s="908"/>
      <c r="BN141" s="908"/>
      <c r="BO141" s="908"/>
      <c r="BP141" s="908"/>
      <c r="BQ141" s="908"/>
      <c r="BR141" s="908"/>
      <c r="BS141" s="908"/>
      <c r="BT141" s="908"/>
      <c r="BU141" s="908"/>
      <c r="BV141" s="908"/>
      <c r="BW141" s="908"/>
      <c r="BX141" s="908"/>
      <c r="BY141" s="908"/>
      <c r="BZ141" s="908"/>
      <c r="CA141" s="908"/>
      <c r="CB141" s="908"/>
      <c r="CC141" s="908"/>
      <c r="CD141" s="908"/>
      <c r="CE141" s="908"/>
      <c r="CF141" s="908"/>
      <c r="CG141" s="908"/>
      <c r="CH141" s="908"/>
      <c r="CI141" s="908"/>
      <c r="CJ141" s="908"/>
      <c r="CK141" s="908"/>
      <c r="CL141" s="908"/>
      <c r="CM141" s="908"/>
      <c r="CN141" s="908"/>
      <c r="CO141" s="908"/>
      <c r="CP141" s="912"/>
      <c r="CQ141" s="912"/>
      <c r="CR141" s="913"/>
      <c r="CS141" s="914"/>
      <c r="CT141" s="914"/>
    </row>
    <row r="142" spans="1:98" ht="12.75" hidden="1">
      <c r="A142" s="908"/>
      <c r="B142" s="908"/>
      <c r="C142" s="908"/>
      <c r="D142" s="909"/>
      <c r="E142" s="909"/>
      <c r="F142" s="909"/>
      <c r="G142" s="909"/>
      <c r="H142" s="909"/>
      <c r="I142" s="909"/>
      <c r="J142" s="910"/>
      <c r="K142" s="910"/>
      <c r="L142" s="911"/>
      <c r="M142" s="911"/>
      <c r="N142" s="908"/>
      <c r="O142" s="908"/>
      <c r="P142" s="908"/>
      <c r="Q142" s="908"/>
      <c r="R142" s="908"/>
      <c r="S142" s="908"/>
      <c r="T142" s="908"/>
      <c r="U142" s="908"/>
      <c r="V142" s="908"/>
      <c r="W142" s="908"/>
      <c r="X142" s="908"/>
      <c r="Y142" s="908"/>
      <c r="Z142" s="908"/>
      <c r="AA142" s="908"/>
      <c r="AB142" s="908"/>
      <c r="AC142" s="908"/>
      <c r="AD142" s="908"/>
      <c r="AE142" s="908"/>
      <c r="AF142" s="908"/>
      <c r="AG142" s="908"/>
      <c r="AH142" s="908"/>
      <c r="AI142" s="908"/>
      <c r="AJ142" s="908"/>
      <c r="AK142" s="908"/>
      <c r="AL142" s="908"/>
      <c r="AM142" s="908"/>
      <c r="AN142" s="908"/>
      <c r="AO142" s="908"/>
      <c r="AP142" s="908"/>
      <c r="AQ142" s="934" t="s">
        <v>559</v>
      </c>
      <c r="AR142" s="934"/>
      <c r="AS142" s="934"/>
      <c r="AT142" s="934"/>
      <c r="AU142" s="934"/>
      <c r="AV142" s="908"/>
      <c r="AW142" s="438">
        <v>6</v>
      </c>
      <c r="AX142" s="908"/>
      <c r="AY142" s="908"/>
      <c r="AZ142" s="908"/>
      <c r="BA142" s="908"/>
      <c r="BB142" s="908"/>
      <c r="BC142" s="908"/>
      <c r="BD142" s="908"/>
      <c r="BE142" s="908"/>
      <c r="BF142" s="908"/>
      <c r="BG142" s="908"/>
      <c r="BH142" s="908"/>
      <c r="BI142" s="908"/>
      <c r="BJ142" s="908"/>
      <c r="BK142" s="908"/>
      <c r="BL142" s="908"/>
      <c r="BM142" s="935" t="s">
        <v>557</v>
      </c>
      <c r="BN142" s="935"/>
      <c r="BO142" s="935"/>
      <c r="BP142" s="935"/>
      <c r="BQ142" s="908">
        <v>2</v>
      </c>
      <c r="BR142" s="908"/>
      <c r="BS142" s="908"/>
      <c r="BT142" s="908"/>
      <c r="BU142" s="908"/>
      <c r="BV142" s="908"/>
      <c r="BW142" s="908"/>
      <c r="BX142" s="908">
        <v>10</v>
      </c>
      <c r="BY142" s="908"/>
      <c r="BZ142" s="908"/>
      <c r="CA142" s="908"/>
      <c r="CB142" s="908"/>
      <c r="CC142" s="908"/>
      <c r="CD142" s="908"/>
      <c r="CE142" s="908"/>
      <c r="CF142" s="908"/>
      <c r="CG142" s="908"/>
      <c r="CH142" s="908"/>
      <c r="CI142" s="908"/>
      <c r="CJ142" s="908"/>
      <c r="CK142" s="908"/>
      <c r="CL142" s="908"/>
      <c r="CM142" s="908"/>
      <c r="CN142" s="908"/>
      <c r="CO142" s="908"/>
      <c r="CP142" s="912"/>
      <c r="CQ142" s="912"/>
      <c r="CR142" s="913"/>
      <c r="CS142" s="914"/>
      <c r="CT142" s="914"/>
    </row>
    <row r="143" spans="1:98" ht="12.75" hidden="1">
      <c r="A143" s="908"/>
      <c r="B143" s="908"/>
      <c r="C143" s="908"/>
      <c r="D143" s="909"/>
      <c r="E143" s="909"/>
      <c r="F143" s="909"/>
      <c r="G143" s="909"/>
      <c r="H143" s="909"/>
      <c r="I143" s="909"/>
      <c r="J143" s="910"/>
      <c r="K143" s="910"/>
      <c r="L143" s="911"/>
      <c r="M143" s="911"/>
      <c r="N143" s="908"/>
      <c r="O143" s="908"/>
      <c r="P143" s="908"/>
      <c r="Q143" s="908"/>
      <c r="R143" s="908"/>
      <c r="S143" s="908"/>
      <c r="T143" s="908"/>
      <c r="U143" s="908"/>
      <c r="V143" s="908"/>
      <c r="W143" s="908"/>
      <c r="X143" s="908"/>
      <c r="Y143" s="908"/>
      <c r="Z143" s="908"/>
      <c r="AA143" s="908"/>
      <c r="AB143" s="908"/>
      <c r="AC143" s="908"/>
      <c r="AD143" s="908"/>
      <c r="AE143" s="908"/>
      <c r="AF143" s="908"/>
      <c r="AG143" s="908"/>
      <c r="AH143" s="908"/>
      <c r="AI143" s="908"/>
      <c r="AJ143" s="908"/>
      <c r="AK143" s="908"/>
      <c r="AL143" s="908"/>
      <c r="AM143" s="908"/>
      <c r="AN143" s="908"/>
      <c r="AO143" s="908"/>
      <c r="AP143" s="908"/>
      <c r="AQ143" s="908"/>
      <c r="AR143" s="908"/>
      <c r="AS143" s="908"/>
      <c r="AT143" s="908"/>
      <c r="AU143" s="908"/>
      <c r="AV143" s="908"/>
      <c r="AW143" s="908"/>
      <c r="AX143" s="908"/>
      <c r="AY143" s="908"/>
      <c r="AZ143" s="908"/>
      <c r="BA143" s="908"/>
      <c r="BB143" s="908"/>
      <c r="BC143" s="908"/>
      <c r="BD143" s="908"/>
      <c r="BE143" s="908"/>
      <c r="BF143" s="908"/>
      <c r="BG143" s="908"/>
      <c r="BH143" s="908"/>
      <c r="BI143" s="908"/>
      <c r="BJ143" s="908"/>
      <c r="BK143" s="908"/>
      <c r="BL143" s="908"/>
      <c r="BM143" s="908"/>
      <c r="BN143" s="908"/>
      <c r="BO143" s="908"/>
      <c r="BP143" s="908"/>
      <c r="BQ143" s="908"/>
      <c r="BR143" s="908"/>
      <c r="BS143" s="908"/>
      <c r="BT143" s="908"/>
      <c r="BU143" s="908"/>
      <c r="BV143" s="908"/>
      <c r="BW143" s="908"/>
      <c r="BX143" s="908"/>
      <c r="BY143" s="908"/>
      <c r="BZ143" s="908"/>
      <c r="CA143" s="908"/>
      <c r="CB143" s="908"/>
      <c r="CC143" s="908"/>
      <c r="CD143" s="908"/>
      <c r="CE143" s="908"/>
      <c r="CF143" s="908"/>
      <c r="CG143" s="908"/>
      <c r="CH143" s="908"/>
      <c r="CI143" s="908"/>
      <c r="CJ143" s="908"/>
      <c r="CK143" s="908"/>
      <c r="CL143" s="908"/>
      <c r="CM143" s="908"/>
      <c r="CN143" s="908"/>
      <c r="CO143" s="908"/>
      <c r="CP143" s="912"/>
      <c r="CQ143" s="912"/>
      <c r="CR143" s="913"/>
      <c r="CS143" s="914"/>
      <c r="CT143" s="914"/>
    </row>
    <row r="144" spans="43:49" ht="12.75">
      <c r="AQ144" s="630"/>
      <c r="AR144" s="630"/>
      <c r="AS144" s="630"/>
      <c r="AT144" s="630"/>
      <c r="AU144" s="630"/>
      <c r="AW144" s="438"/>
    </row>
  </sheetData>
  <sheetProtection selectLockedCells="1" sort="0" autoFilter="0" pivotTables="0" selectUnlockedCells="1"/>
  <autoFilter ref="A10:CQ96"/>
  <mergeCells count="241">
    <mergeCell ref="V95:AB95"/>
    <mergeCell ref="N96:U96"/>
    <mergeCell ref="AQ95:AW95"/>
    <mergeCell ref="BL96:BR96"/>
    <mergeCell ref="AQ142:AU142"/>
    <mergeCell ref="AX96:BD96"/>
    <mergeCell ref="CE5:CF5"/>
    <mergeCell ref="BZ4:CO4"/>
    <mergeCell ref="CH6:CJ6"/>
    <mergeCell ref="BM142:BP142"/>
    <mergeCell ref="AQ144:AU144"/>
    <mergeCell ref="BM140:BO140"/>
    <mergeCell ref="BE95:BK95"/>
    <mergeCell ref="AX95:BD95"/>
    <mergeCell ref="BE96:BK96"/>
    <mergeCell ref="AQ96:AW96"/>
    <mergeCell ref="AL94:AM94"/>
    <mergeCell ref="AO94:AP94"/>
    <mergeCell ref="A99:B99"/>
    <mergeCell ref="C99:D99"/>
    <mergeCell ref="AC95:AI95"/>
    <mergeCell ref="N95:U95"/>
    <mergeCell ref="AJ96:AP96"/>
    <mergeCell ref="E99:F99"/>
    <mergeCell ref="AJ95:AP95"/>
    <mergeCell ref="V96:AB96"/>
    <mergeCell ref="AH94:AI94"/>
    <mergeCell ref="AJ8:AL8"/>
    <mergeCell ref="AJ5:AK5"/>
    <mergeCell ref="B95:M95"/>
    <mergeCell ref="B96:M96"/>
    <mergeCell ref="AZ94:BA94"/>
    <mergeCell ref="AC96:AI96"/>
    <mergeCell ref="AQ94:AR94"/>
    <mergeCell ref="AS94:AT94"/>
    <mergeCell ref="V94:W94"/>
    <mergeCell ref="X94:Y94"/>
    <mergeCell ref="AC94:AD94"/>
    <mergeCell ref="AQ93:AR93"/>
    <mergeCell ref="V92:AB92"/>
    <mergeCell ref="AE93:AF93"/>
    <mergeCell ref="AQ5:AR5"/>
    <mergeCell ref="AJ90:AP90"/>
    <mergeCell ref="AL93:AM93"/>
    <mergeCell ref="AJ7:AK7"/>
    <mergeCell ref="AJ91:AP91"/>
    <mergeCell ref="AC89:AI89"/>
    <mergeCell ref="AQ89:AW89"/>
    <mergeCell ref="AA93:AB93"/>
    <mergeCell ref="AC93:AD93"/>
    <mergeCell ref="V93:W93"/>
    <mergeCell ref="X93:Y93"/>
    <mergeCell ref="AC91:AI91"/>
    <mergeCell ref="AV93:AW93"/>
    <mergeCell ref="AS93:AT93"/>
    <mergeCell ref="AQ92:AW92"/>
    <mergeCell ref="BG94:BH94"/>
    <mergeCell ref="AV94:AW94"/>
    <mergeCell ref="AX94:AY94"/>
    <mergeCell ref="BJ94:BK94"/>
    <mergeCell ref="BC94:BD94"/>
    <mergeCell ref="BE94:BF94"/>
    <mergeCell ref="B72:C72"/>
    <mergeCell ref="AJ6:AK6"/>
    <mergeCell ref="D5:D9"/>
    <mergeCell ref="L3:M8"/>
    <mergeCell ref="N3:U3"/>
    <mergeCell ref="AA94:AB94"/>
    <mergeCell ref="AJ89:AP89"/>
    <mergeCell ref="AC90:AI90"/>
    <mergeCell ref="AE94:AF94"/>
    <mergeCell ref="AJ94:AK94"/>
    <mergeCell ref="A1:CQ1"/>
    <mergeCell ref="CP3:CP9"/>
    <mergeCell ref="A3:A9"/>
    <mergeCell ref="AJ4:AW4"/>
    <mergeCell ref="AX4:BK4"/>
    <mergeCell ref="D3:I4"/>
    <mergeCell ref="Q6:Q9"/>
    <mergeCell ref="AX5:AY5"/>
    <mergeCell ref="BE5:BF5"/>
    <mergeCell ref="BR4:BU4"/>
    <mergeCell ref="CQ3:CQ9"/>
    <mergeCell ref="BL6:BM6"/>
    <mergeCell ref="W3:BY3"/>
    <mergeCell ref="V4:AI4"/>
    <mergeCell ref="BS5:BT5"/>
    <mergeCell ref="BE6:BF6"/>
    <mergeCell ref="AQ6:AR6"/>
    <mergeCell ref="BL5:BM5"/>
    <mergeCell ref="BS7:BT7"/>
    <mergeCell ref="CI7:CJ7"/>
    <mergeCell ref="AX6:AY6"/>
    <mergeCell ref="BS92:BY92"/>
    <mergeCell ref="BS90:BY90"/>
    <mergeCell ref="BS91:BY91"/>
    <mergeCell ref="BL89:BR89"/>
    <mergeCell ref="BS89:BY89"/>
    <mergeCell ref="BE90:BK90"/>
    <mergeCell ref="BE89:BK89"/>
    <mergeCell ref="BL91:BR91"/>
    <mergeCell ref="AX92:BD92"/>
    <mergeCell ref="AC5:AD5"/>
    <mergeCell ref="V5:W5"/>
    <mergeCell ref="AC6:AD6"/>
    <mergeCell ref="P6:P9"/>
    <mergeCell ref="V6:W6"/>
    <mergeCell ref="P5:R5"/>
    <mergeCell ref="U5:U9"/>
    <mergeCell ref="Y6:Z6"/>
    <mergeCell ref="O4:U4"/>
    <mergeCell ref="R6:R9"/>
    <mergeCell ref="B11:I11"/>
    <mergeCell ref="B74:C74"/>
    <mergeCell ref="B87:I87"/>
    <mergeCell ref="B27:I27"/>
    <mergeCell ref="A82:C82"/>
    <mergeCell ref="N4:N9"/>
    <mergeCell ref="O5:O9"/>
    <mergeCell ref="T6:T9"/>
    <mergeCell ref="B86:I86"/>
    <mergeCell ref="B91:M91"/>
    <mergeCell ref="N91:U91"/>
    <mergeCell ref="B90:M90"/>
    <mergeCell ref="B89:M89"/>
    <mergeCell ref="V89:AB89"/>
    <mergeCell ref="N93:O93"/>
    <mergeCell ref="N92:U92"/>
    <mergeCell ref="V90:AB90"/>
    <mergeCell ref="V91:AB91"/>
    <mergeCell ref="N90:U90"/>
    <mergeCell ref="A83:C83"/>
    <mergeCell ref="B85:I85"/>
    <mergeCell ref="B92:M92"/>
    <mergeCell ref="B88:I88"/>
    <mergeCell ref="B84:I84"/>
    <mergeCell ref="BS96:BY96"/>
    <mergeCell ref="BS94:BT94"/>
    <mergeCell ref="BS95:BY95"/>
    <mergeCell ref="B93:M93"/>
    <mergeCell ref="N94:O94"/>
    <mergeCell ref="T94:U94"/>
    <mergeCell ref="P94:R94"/>
    <mergeCell ref="P93:R93"/>
    <mergeCell ref="B94:M94"/>
    <mergeCell ref="T93:U93"/>
    <mergeCell ref="BL93:BM93"/>
    <mergeCell ref="BN93:BO93"/>
    <mergeCell ref="BX93:BY93"/>
    <mergeCell ref="BU93:BV93"/>
    <mergeCell ref="BQ93:BR93"/>
    <mergeCell ref="BX94:BY94"/>
    <mergeCell ref="BU94:BV94"/>
    <mergeCell ref="BN94:BO94"/>
    <mergeCell ref="BL94:BM94"/>
    <mergeCell ref="BQ94:BR94"/>
    <mergeCell ref="BC93:BD93"/>
    <mergeCell ref="AX93:AY93"/>
    <mergeCell ref="BE93:BF93"/>
    <mergeCell ref="BJ93:BK93"/>
    <mergeCell ref="AZ93:BA93"/>
    <mergeCell ref="BG93:BH93"/>
    <mergeCell ref="BS8:BU8"/>
    <mergeCell ref="BL7:BM7"/>
    <mergeCell ref="BL8:BN8"/>
    <mergeCell ref="AQ8:AS8"/>
    <mergeCell ref="AH93:AI93"/>
    <mergeCell ref="AJ92:AP92"/>
    <mergeCell ref="AC92:AI92"/>
    <mergeCell ref="AJ93:AK93"/>
    <mergeCell ref="AO93:AP93"/>
    <mergeCell ref="AQ7:AR7"/>
    <mergeCell ref="AX90:BD90"/>
    <mergeCell ref="AQ91:AW91"/>
    <mergeCell ref="BE91:BK91"/>
    <mergeCell ref="BL90:BR90"/>
    <mergeCell ref="AX91:BD91"/>
    <mergeCell ref="AX89:BD89"/>
    <mergeCell ref="AQ90:AW90"/>
    <mergeCell ref="I5:I9"/>
    <mergeCell ref="BE92:BK92"/>
    <mergeCell ref="BL92:BR92"/>
    <mergeCell ref="BE7:BF7"/>
    <mergeCell ref="BE8:BG8"/>
    <mergeCell ref="B33:I33"/>
    <mergeCell ref="B36:I36"/>
    <mergeCell ref="B46:I46"/>
    <mergeCell ref="AX7:AY7"/>
    <mergeCell ref="AX8:AZ8"/>
    <mergeCell ref="B77:I77"/>
    <mergeCell ref="V7:W7"/>
    <mergeCell ref="V8:X8"/>
    <mergeCell ref="B12:I12"/>
    <mergeCell ref="B57:I57"/>
    <mergeCell ref="B62:I62"/>
    <mergeCell ref="B37:I37"/>
    <mergeCell ref="B3:B9"/>
    <mergeCell ref="E5:E9"/>
    <mergeCell ref="B65:I65"/>
    <mergeCell ref="B28:I28"/>
    <mergeCell ref="AC7:AD7"/>
    <mergeCell ref="AC8:AE8"/>
    <mergeCell ref="B47:I47"/>
    <mergeCell ref="B52:I52"/>
    <mergeCell ref="H5:H9"/>
    <mergeCell ref="B21:I21"/>
    <mergeCell ref="C3:C9"/>
    <mergeCell ref="S6:S9"/>
    <mergeCell ref="Y5:AA5"/>
    <mergeCell ref="CH5:CJ5"/>
    <mergeCell ref="BZ6:CB6"/>
    <mergeCell ref="CH89:CO89"/>
    <mergeCell ref="BZ89:CG89"/>
    <mergeCell ref="CI8:CM8"/>
    <mergeCell ref="CA8:CC8"/>
    <mergeCell ref="CA7:CB7"/>
    <mergeCell ref="CM6:CN6"/>
    <mergeCell ref="CM5:CN5"/>
    <mergeCell ref="CE6:CF6"/>
    <mergeCell ref="CH92:CO92"/>
    <mergeCell ref="BZ92:CG92"/>
    <mergeCell ref="CH91:CO91"/>
    <mergeCell ref="BZ91:CG91"/>
    <mergeCell ref="CH90:CO90"/>
    <mergeCell ref="BZ90:CG90"/>
    <mergeCell ref="CM93:CO93"/>
    <mergeCell ref="CK93:CL93"/>
    <mergeCell ref="CH93:CJ93"/>
    <mergeCell ref="CE93:CG93"/>
    <mergeCell ref="CC93:CD93"/>
    <mergeCell ref="BZ93:CB93"/>
    <mergeCell ref="CH96:CO96"/>
    <mergeCell ref="BZ96:CG96"/>
    <mergeCell ref="CH95:CO95"/>
    <mergeCell ref="BZ95:CG95"/>
    <mergeCell ref="CM94:CO94"/>
    <mergeCell ref="CK94:CL94"/>
    <mergeCell ref="CH94:CJ94"/>
    <mergeCell ref="CE94:CG94"/>
    <mergeCell ref="CC94:CD94"/>
    <mergeCell ref="BZ94:CB94"/>
  </mergeCells>
  <conditionalFormatting sqref="CP29:CP32 CP34:CP35 CP38:CP45 CP58:CP61 CP73 CP63:CP64 CP13 CP53:CP54 CP56 CP48:CP51 CP66:CP71">
    <cfRule type="expression" priority="562" dxfId="1" stopIfTrue="1">
      <formula>AND(N13&gt;0,CP13=0)</formula>
    </cfRule>
    <cfRule type="expression" priority="563" dxfId="1" stopIfTrue="1">
      <formula>AND(N13=0,CP13&lt;&gt;0)</formula>
    </cfRule>
  </conditionalFormatting>
  <conditionalFormatting sqref="CP13">
    <cfRule type="expression" priority="557" dxfId="1" stopIfTrue="1">
      <formula>AND(P13&gt;0,CP13=0)</formula>
    </cfRule>
    <cfRule type="expression" priority="558" dxfId="1" stopIfTrue="1">
      <formula>AND(P13=0,CP13&lt;&gt;0)</formula>
    </cfRule>
  </conditionalFormatting>
  <conditionalFormatting sqref="CP13">
    <cfRule type="expression" priority="727" dxfId="1" stopIfTrue="1">
      <formula>AND(P13&gt;0,CP13=0)</formula>
    </cfRule>
    <cfRule type="expression" priority="728" dxfId="1" stopIfTrue="1">
      <formula>AND(P13=0,CP13&lt;&gt;0)</formula>
    </cfRule>
  </conditionalFormatting>
  <conditionalFormatting sqref="CP13">
    <cfRule type="expression" priority="721" dxfId="1" stopIfTrue="1">
      <formula>AND(P13&gt;0,CP13=0)</formula>
    </cfRule>
    <cfRule type="expression" priority="722" dxfId="1" stopIfTrue="1">
      <formula>AND(P13=0,CP13&lt;&gt;0)</formula>
    </cfRule>
  </conditionalFormatting>
  <conditionalFormatting sqref="CP13">
    <cfRule type="expression" priority="719" dxfId="1" stopIfTrue="1">
      <formula>AND(P13&gt;0,CP13=0)</formula>
    </cfRule>
    <cfRule type="expression" priority="720" dxfId="1" stopIfTrue="1">
      <formula>AND(P13=0,CP13&lt;&gt;0)</formula>
    </cfRule>
  </conditionalFormatting>
  <conditionalFormatting sqref="CP13">
    <cfRule type="expression" priority="677" dxfId="1" stopIfTrue="1">
      <formula>AND(P13&gt;0,CP13=0)</formula>
    </cfRule>
    <cfRule type="expression" priority="678" dxfId="1" stopIfTrue="1">
      <formula>AND(P13=0,CP13&lt;&gt;0)</formula>
    </cfRule>
  </conditionalFormatting>
  <conditionalFormatting sqref="CP13">
    <cfRule type="expression" priority="641" dxfId="1" stopIfTrue="1">
      <formula>AND(P13&gt;0,CP13=0)</formula>
    </cfRule>
    <cfRule type="expression" priority="642" dxfId="1" stopIfTrue="1">
      <formula>AND(P13=0,CP13&lt;&gt;0)</formula>
    </cfRule>
  </conditionalFormatting>
  <conditionalFormatting sqref="CP13">
    <cfRule type="expression" priority="635" dxfId="1" stopIfTrue="1">
      <formula>AND(P13&gt;0,CP13=0)</formula>
    </cfRule>
    <cfRule type="expression" priority="636" dxfId="1" stopIfTrue="1">
      <formula>AND(P13=0,CP13&lt;&gt;0)</formula>
    </cfRule>
  </conditionalFormatting>
  <conditionalFormatting sqref="CP13">
    <cfRule type="expression" priority="633" dxfId="1" stopIfTrue="1">
      <formula>AND(P13&gt;0,CP13=0)</formula>
    </cfRule>
    <cfRule type="expression" priority="634" dxfId="1" stopIfTrue="1">
      <formula>AND(P13=0,CP13&lt;&gt;0)</formula>
    </cfRule>
  </conditionalFormatting>
  <conditionalFormatting sqref="CP13">
    <cfRule type="expression" priority="591" dxfId="1" stopIfTrue="1">
      <formula>AND(P13&gt;0,CP13=0)</formula>
    </cfRule>
    <cfRule type="expression" priority="592" dxfId="1" stopIfTrue="1">
      <formula>AND(P13=0,CP13&lt;&gt;0)</formula>
    </cfRule>
  </conditionalFormatting>
  <conditionalFormatting sqref="CP13">
    <cfRule type="expression" priority="383" dxfId="1" stopIfTrue="1">
      <formula>AND(P13&gt;0,CP13=0)</formula>
    </cfRule>
    <cfRule type="expression" priority="384" dxfId="1" stopIfTrue="1">
      <formula>AND(P13=0,CP13&lt;&gt;0)</formula>
    </cfRule>
  </conditionalFormatting>
  <conditionalFormatting sqref="CP13">
    <cfRule type="expression" priority="377" dxfId="1" stopIfTrue="1">
      <formula>AND(P13&gt;0,CP13=0)</formula>
    </cfRule>
    <cfRule type="expression" priority="378" dxfId="1" stopIfTrue="1">
      <formula>AND(P13=0,CP13&lt;&gt;0)</formula>
    </cfRule>
  </conditionalFormatting>
  <conditionalFormatting sqref="CP13">
    <cfRule type="expression" priority="375" dxfId="1" stopIfTrue="1">
      <formula>AND(P13&gt;0,CP13=0)</formula>
    </cfRule>
    <cfRule type="expression" priority="376" dxfId="1" stopIfTrue="1">
      <formula>AND(P13=0,CP13&lt;&gt;0)</formula>
    </cfRule>
  </conditionalFormatting>
  <conditionalFormatting sqref="CP13">
    <cfRule type="expression" priority="333" dxfId="1" stopIfTrue="1">
      <formula>AND(P13&gt;0,CP13=0)</formula>
    </cfRule>
    <cfRule type="expression" priority="334" dxfId="1" stopIfTrue="1">
      <formula>AND(P13=0,CP13&lt;&gt;0)</formula>
    </cfRule>
  </conditionalFormatting>
  <conditionalFormatting sqref="CP13">
    <cfRule type="expression" priority="297" dxfId="1" stopIfTrue="1">
      <formula>AND(P13&gt;0,CP13=0)</formula>
    </cfRule>
    <cfRule type="expression" priority="298" dxfId="1" stopIfTrue="1">
      <formula>AND(P13=0,CP13&lt;&gt;0)</formula>
    </cfRule>
  </conditionalFormatting>
  <conditionalFormatting sqref="CP13">
    <cfRule type="expression" priority="291" dxfId="1" stopIfTrue="1">
      <formula>AND(P13&gt;0,CP13=0)</formula>
    </cfRule>
    <cfRule type="expression" priority="292" dxfId="1" stopIfTrue="1">
      <formula>AND(P13=0,CP13&lt;&gt;0)</formula>
    </cfRule>
  </conditionalFormatting>
  <conditionalFormatting sqref="CP13">
    <cfRule type="expression" priority="289" dxfId="1" stopIfTrue="1">
      <formula>AND(P13&gt;0,CP13=0)</formula>
    </cfRule>
    <cfRule type="expression" priority="290" dxfId="1" stopIfTrue="1">
      <formula>AND(P13=0,CP13&lt;&gt;0)</formula>
    </cfRule>
  </conditionalFormatting>
  <conditionalFormatting sqref="CP13">
    <cfRule type="expression" priority="247" dxfId="1" stopIfTrue="1">
      <formula>AND(P13&gt;0,CP13=0)</formula>
    </cfRule>
    <cfRule type="expression" priority="248" dxfId="1" stopIfTrue="1">
      <formula>AND(P13=0,CP13&lt;&gt;0)</formula>
    </cfRule>
  </conditionalFormatting>
  <conditionalFormatting sqref="CP13">
    <cfRule type="expression" priority="141" dxfId="1" stopIfTrue="1">
      <formula>AND(P13&gt;0,CP13=0)</formula>
    </cfRule>
    <cfRule type="expression" priority="142" dxfId="1" stopIfTrue="1">
      <formula>AND(P13=0,CP13&lt;&gt;0)</formula>
    </cfRule>
  </conditionalFormatting>
  <conditionalFormatting sqref="CP13">
    <cfRule type="expression" priority="139" dxfId="1" stopIfTrue="1">
      <formula>AND(P13&gt;0,CP13=0)</formula>
    </cfRule>
    <cfRule type="expression" priority="140" dxfId="1" stopIfTrue="1">
      <formula>AND(P13=0,CP13&lt;&gt;0)</formula>
    </cfRule>
  </conditionalFormatting>
  <conditionalFormatting sqref="CP13">
    <cfRule type="expression" priority="137" dxfId="1" stopIfTrue="1">
      <formula>AND(P13&gt;0,CP13=0)</formula>
    </cfRule>
    <cfRule type="expression" priority="138" dxfId="1" stopIfTrue="1">
      <formula>AND(P13=0,CP13&lt;&gt;0)</formula>
    </cfRule>
  </conditionalFormatting>
  <conditionalFormatting sqref="CP13">
    <cfRule type="expression" priority="125" dxfId="1" stopIfTrue="1">
      <formula>AND(P13&gt;0,CP13=0)</formula>
    </cfRule>
    <cfRule type="expression" priority="126" dxfId="1" stopIfTrue="1">
      <formula>AND(P13=0,CP13&lt;&gt;0)</formula>
    </cfRule>
  </conditionalFormatting>
  <conditionalFormatting sqref="CP13">
    <cfRule type="expression" priority="105" dxfId="1" stopIfTrue="1">
      <formula>AND(P13&gt;0,CP13=0)</formula>
    </cfRule>
    <cfRule type="expression" priority="106" dxfId="1" stopIfTrue="1">
      <formula>AND(P13=0,CP13&lt;&gt;0)</formula>
    </cfRule>
  </conditionalFormatting>
  <conditionalFormatting sqref="CP13">
    <cfRule type="expression" priority="103" dxfId="1" stopIfTrue="1">
      <formula>AND(P13&gt;0,CP13=0)</formula>
    </cfRule>
    <cfRule type="expression" priority="104" dxfId="1" stopIfTrue="1">
      <formula>AND(P13=0,CP13&lt;&gt;0)</formula>
    </cfRule>
  </conditionalFormatting>
  <conditionalFormatting sqref="CP13">
    <cfRule type="expression" priority="101" dxfId="1" stopIfTrue="1">
      <formula>AND(P13&gt;0,CP13=0)</formula>
    </cfRule>
    <cfRule type="expression" priority="102" dxfId="1" stopIfTrue="1">
      <formula>AND(P13=0,CP13&lt;&gt;0)</formula>
    </cfRule>
  </conditionalFormatting>
  <conditionalFormatting sqref="CP13">
    <cfRule type="expression" priority="89" dxfId="1" stopIfTrue="1">
      <formula>AND(P13&gt;0,CP13=0)</formula>
    </cfRule>
    <cfRule type="expression" priority="90" dxfId="1" stopIfTrue="1">
      <formula>AND(P13=0,CP13&lt;&gt;0)</formula>
    </cfRule>
  </conditionalFormatting>
  <conditionalFormatting sqref="CP13">
    <cfRule type="expression" priority="53" dxfId="1" stopIfTrue="1">
      <formula>AND(D13&gt;0,CP13=0)</formula>
    </cfRule>
    <cfRule type="expression" priority="54" dxfId="1" stopIfTrue="1">
      <formula>AND(D13=0,CP13&lt;&gt;0)</formula>
    </cfRule>
  </conditionalFormatting>
  <printOptions horizontalCentered="1"/>
  <pageMargins left="0" right="0" top="0.3937007874015748" bottom="0.3937007874015748" header="0.11811023622047245" footer="0.11811023622047245"/>
  <pageSetup horizontalDpi="600" verticalDpi="600" orientation="landscape" paperSize="8" scale="3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7"/>
  <sheetViews>
    <sheetView showZeros="0" zoomScalePageLayoutView="0" workbookViewId="0" topLeftCell="A1">
      <selection activeCell="A7" sqref="A7:BM7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8" width="3.33203125" style="6" customWidth="1"/>
    <col min="59" max="59" width="5.16015625" style="6" customWidth="1"/>
    <col min="60" max="60" width="4.16015625" style="6" customWidth="1"/>
    <col min="61" max="61" width="5.83203125" style="6" customWidth="1"/>
    <col min="62" max="62" width="3.33203125" style="6" customWidth="1"/>
    <col min="63" max="63" width="3.16015625" style="6" customWidth="1"/>
    <col min="64" max="64" width="3.83203125" style="6" customWidth="1"/>
    <col min="65" max="65" width="5" style="6" customWidth="1"/>
    <col min="66" max="69" width="2.83203125" style="6" customWidth="1"/>
    <col min="70" max="70" width="4.83203125" style="6" bestFit="1" customWidth="1"/>
    <col min="71" max="16384" width="2.83203125" style="6" customWidth="1"/>
  </cols>
  <sheetData>
    <row r="1" spans="1:65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506" t="s">
        <v>32</v>
      </c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15.75" customHeight="1">
      <c r="A2" s="519" t="s">
        <v>315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07" t="s">
        <v>306</v>
      </c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25" t="s">
        <v>44</v>
      </c>
      <c r="BD2" s="525"/>
      <c r="BE2" s="525"/>
      <c r="BF2" s="525"/>
      <c r="BG2" s="525"/>
      <c r="BH2" s="525"/>
      <c r="BI2" s="525"/>
      <c r="BJ2" s="525"/>
      <c r="BK2" s="525"/>
      <c r="BL2" s="525"/>
      <c r="BM2" s="525"/>
    </row>
    <row r="3" spans="1:65" ht="15.75" customHeight="1">
      <c r="A3" s="530">
        <f>'Титульный лист (очная)'!A3:G3</f>
        <v>43276</v>
      </c>
      <c r="B3" s="530"/>
      <c r="C3" s="530"/>
      <c r="D3" s="530"/>
      <c r="E3" s="530"/>
      <c r="F3" s="530"/>
      <c r="G3" s="530"/>
      <c r="H3" s="530" t="str">
        <f>'Титульный лист (очная)'!H3:N3</f>
        <v>Протокол №11</v>
      </c>
      <c r="I3" s="530"/>
      <c r="J3" s="530"/>
      <c r="K3" s="530"/>
      <c r="L3" s="530"/>
      <c r="M3" s="530"/>
      <c r="N3" s="530"/>
      <c r="O3" s="507" t="s">
        <v>305</v>
      </c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31" t="s">
        <v>25</v>
      </c>
      <c r="BD3" s="531"/>
      <c r="BE3" s="531"/>
      <c r="BF3" s="531"/>
      <c r="BG3" s="531"/>
      <c r="BH3" s="531"/>
      <c r="BI3" s="531"/>
      <c r="BJ3" s="531"/>
      <c r="BK3" s="531"/>
      <c r="BL3" s="531"/>
      <c r="BM3" s="531"/>
    </row>
    <row r="4" spans="1:65" ht="15.75" customHeight="1">
      <c r="A4" s="538" t="str">
        <f>'Титульный лист (очная)'!A4:N4</f>
        <v>в ред.30.03.2021 Протокол №7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534" t="s">
        <v>279</v>
      </c>
      <c r="BD4" s="534"/>
      <c r="BE4" s="534"/>
      <c r="BF4" s="534"/>
      <c r="BG4" s="534"/>
      <c r="BH4" s="534"/>
      <c r="BI4" s="534"/>
      <c r="BJ4" s="534"/>
      <c r="BK4" s="534"/>
      <c r="BL4" s="534"/>
      <c r="BM4" s="534"/>
    </row>
    <row r="5" spans="1:65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  <c r="P5" s="23"/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6"/>
      <c r="BD5" s="20"/>
      <c r="BE5" s="20"/>
      <c r="BF5" s="27"/>
      <c r="BG5" s="28"/>
      <c r="BH5" s="28"/>
      <c r="BI5" s="28"/>
      <c r="BJ5" s="28"/>
      <c r="BK5" s="28"/>
      <c r="BL5" s="28"/>
      <c r="BM5" s="20"/>
    </row>
    <row r="6" spans="1:65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631">
        <f>'Титульный лист (очная)'!BC6:BM6</f>
        <v>44286</v>
      </c>
      <c r="BD6" s="631"/>
      <c r="BE6" s="631"/>
      <c r="BF6" s="631"/>
      <c r="BG6" s="631"/>
      <c r="BH6" s="631"/>
      <c r="BI6" s="631"/>
      <c r="BJ6" s="631"/>
      <c r="BK6" s="631"/>
      <c r="BL6" s="631"/>
      <c r="BM6" s="631"/>
    </row>
    <row r="7" spans="1:65" ht="24">
      <c r="A7" s="539" t="s">
        <v>378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39"/>
      <c r="AQ7" s="539"/>
      <c r="AR7" s="539"/>
      <c r="AS7" s="539"/>
      <c r="AT7" s="539"/>
      <c r="AU7" s="539"/>
      <c r="AV7" s="539"/>
      <c r="AW7" s="539"/>
      <c r="AX7" s="539"/>
      <c r="AY7" s="539"/>
      <c r="AZ7" s="539"/>
      <c r="BA7" s="539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539"/>
      <c r="BM7" s="539"/>
    </row>
    <row r="8" spans="1:65" s="3" customFormat="1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2"/>
      <c r="P8" s="25"/>
      <c r="Q8" s="25"/>
      <c r="R8" s="25"/>
      <c r="S8" s="25"/>
      <c r="T8" s="25"/>
      <c r="U8" s="25"/>
      <c r="V8" s="25"/>
      <c r="W8" s="25"/>
      <c r="X8" s="632" t="s">
        <v>320</v>
      </c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25"/>
      <c r="AW8" s="25"/>
      <c r="AX8" s="25"/>
      <c r="AY8" s="25"/>
      <c r="AZ8" s="25"/>
      <c r="BA8" s="25"/>
      <c r="BB8" s="25"/>
      <c r="BC8" s="25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s="3" customFormat="1" ht="15.75" customHeight="1">
      <c r="A9" s="501" t="s">
        <v>45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27" t="s">
        <v>483</v>
      </c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7"/>
      <c r="AW9" s="527"/>
      <c r="AX9" s="527"/>
      <c r="AY9" s="527"/>
      <c r="AZ9" s="527"/>
      <c r="BA9" s="527"/>
      <c r="BB9" s="527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s="3" customFormat="1" ht="15.75" customHeight="1">
      <c r="A10" s="501" t="s">
        <v>119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29" t="s">
        <v>316</v>
      </c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529"/>
      <c r="BC10" s="523" t="s">
        <v>492</v>
      </c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</row>
    <row r="11" spans="1:65" s="3" customFormat="1" ht="15.75" customHeight="1">
      <c r="A11" s="501" t="s">
        <v>116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9" t="s">
        <v>224</v>
      </c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24"/>
      <c r="BD11" s="524"/>
      <c r="BE11" s="524"/>
      <c r="BF11" s="524"/>
      <c r="BG11" s="524"/>
      <c r="BH11" s="524"/>
      <c r="BI11" s="524"/>
      <c r="BJ11" s="524"/>
      <c r="BK11" s="524"/>
      <c r="BL11" s="524"/>
      <c r="BM11" s="524"/>
    </row>
    <row r="12" spans="1:65" s="3" customFormat="1" ht="21.75" customHeight="1">
      <c r="A12" s="501"/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</row>
    <row r="13" spans="1:65" s="3" customFormat="1" ht="15.7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</row>
    <row r="14" spans="1:65" s="3" customFormat="1" ht="15.75" customHeight="1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32" t="s">
        <v>289</v>
      </c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</row>
    <row r="15" spans="1:65" s="3" customFormat="1" ht="15.75" customHeight="1">
      <c r="A15" s="501" t="s">
        <v>120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9" t="s">
        <v>494</v>
      </c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3" customFormat="1" ht="15.75" customHeight="1">
      <c r="A16" s="501" t="s">
        <v>46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9" t="s">
        <v>87</v>
      </c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25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15.75" customHeight="1">
      <c r="A17" s="500" t="s">
        <v>484</v>
      </c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8">
        <v>3</v>
      </c>
      <c r="P17" s="508"/>
      <c r="Q17" s="499" t="s">
        <v>195</v>
      </c>
      <c r="R17" s="499"/>
      <c r="S17" s="499"/>
      <c r="T17" s="633">
        <v>4</v>
      </c>
      <c r="U17" s="633"/>
      <c r="V17" s="537" t="s">
        <v>196</v>
      </c>
      <c r="W17" s="537"/>
      <c r="X17" s="537"/>
      <c r="Y17" s="537"/>
      <c r="Z17" s="537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3"/>
      <c r="BD17" s="24"/>
      <c r="BE17" s="24"/>
      <c r="BF17" s="24"/>
      <c r="BG17" s="24"/>
      <c r="BH17" s="24"/>
      <c r="BI17" s="24"/>
      <c r="BJ17" s="24"/>
      <c r="BK17" s="24"/>
      <c r="BL17" s="24"/>
      <c r="BM17" s="24"/>
    </row>
    <row r="18" spans="1:65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35" t="s">
        <v>493</v>
      </c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30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1:65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ht="12.75">
      <c r="A20" s="520" t="s">
        <v>8</v>
      </c>
      <c r="B20" s="493" t="s">
        <v>9</v>
      </c>
      <c r="C20" s="494"/>
      <c r="D20" s="494"/>
      <c r="E20" s="495"/>
      <c r="F20" s="502" t="s">
        <v>379</v>
      </c>
      <c r="G20" s="493" t="s">
        <v>23</v>
      </c>
      <c r="H20" s="494"/>
      <c r="I20" s="495"/>
      <c r="J20" s="502" t="s">
        <v>380</v>
      </c>
      <c r="K20" s="493" t="s">
        <v>10</v>
      </c>
      <c r="L20" s="494"/>
      <c r="M20" s="494"/>
      <c r="N20" s="495"/>
      <c r="O20" s="493" t="s">
        <v>11</v>
      </c>
      <c r="P20" s="494"/>
      <c r="Q20" s="494"/>
      <c r="R20" s="495"/>
      <c r="S20" s="502" t="s">
        <v>381</v>
      </c>
      <c r="T20" s="493" t="s">
        <v>12</v>
      </c>
      <c r="U20" s="494"/>
      <c r="V20" s="495"/>
      <c r="W20" s="502" t="s">
        <v>382</v>
      </c>
      <c r="X20" s="493" t="s">
        <v>13</v>
      </c>
      <c r="Y20" s="494"/>
      <c r="Z20" s="495"/>
      <c r="AA20" s="502" t="s">
        <v>549</v>
      </c>
      <c r="AB20" s="493" t="s">
        <v>14</v>
      </c>
      <c r="AC20" s="494"/>
      <c r="AD20" s="494"/>
      <c r="AE20" s="495"/>
      <c r="AF20" s="502" t="s">
        <v>383</v>
      </c>
      <c r="AG20" s="493" t="s">
        <v>15</v>
      </c>
      <c r="AH20" s="494"/>
      <c r="AI20" s="495"/>
      <c r="AJ20" s="502" t="s">
        <v>384</v>
      </c>
      <c r="AK20" s="493" t="s">
        <v>16</v>
      </c>
      <c r="AL20" s="494"/>
      <c r="AM20" s="494"/>
      <c r="AN20" s="495"/>
      <c r="AO20" s="493" t="s">
        <v>17</v>
      </c>
      <c r="AP20" s="494"/>
      <c r="AQ20" s="494"/>
      <c r="AR20" s="495"/>
      <c r="AS20" s="502" t="s">
        <v>385</v>
      </c>
      <c r="AT20" s="493" t="s">
        <v>18</v>
      </c>
      <c r="AU20" s="494"/>
      <c r="AV20" s="495"/>
      <c r="AW20" s="502" t="s">
        <v>386</v>
      </c>
      <c r="AX20" s="493" t="s">
        <v>19</v>
      </c>
      <c r="AY20" s="494"/>
      <c r="AZ20" s="494"/>
      <c r="BA20" s="495"/>
      <c r="BB20" s="540" t="s">
        <v>50</v>
      </c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2"/>
    </row>
    <row r="21" spans="1:65" ht="15.75" customHeight="1">
      <c r="A21" s="521"/>
      <c r="B21" s="496"/>
      <c r="C21" s="497"/>
      <c r="D21" s="497"/>
      <c r="E21" s="498"/>
      <c r="F21" s="503"/>
      <c r="G21" s="496"/>
      <c r="H21" s="497"/>
      <c r="I21" s="498"/>
      <c r="J21" s="503"/>
      <c r="K21" s="496"/>
      <c r="L21" s="497"/>
      <c r="M21" s="497"/>
      <c r="N21" s="498"/>
      <c r="O21" s="496"/>
      <c r="P21" s="497"/>
      <c r="Q21" s="497"/>
      <c r="R21" s="498"/>
      <c r="S21" s="503"/>
      <c r="T21" s="496"/>
      <c r="U21" s="497"/>
      <c r="V21" s="498"/>
      <c r="W21" s="503"/>
      <c r="X21" s="496"/>
      <c r="Y21" s="497"/>
      <c r="Z21" s="498"/>
      <c r="AA21" s="503"/>
      <c r="AB21" s="496"/>
      <c r="AC21" s="497"/>
      <c r="AD21" s="497"/>
      <c r="AE21" s="498"/>
      <c r="AF21" s="503"/>
      <c r="AG21" s="496"/>
      <c r="AH21" s="497"/>
      <c r="AI21" s="498"/>
      <c r="AJ21" s="503"/>
      <c r="AK21" s="496"/>
      <c r="AL21" s="497"/>
      <c r="AM21" s="497"/>
      <c r="AN21" s="498"/>
      <c r="AO21" s="496"/>
      <c r="AP21" s="497"/>
      <c r="AQ21" s="497"/>
      <c r="AR21" s="498"/>
      <c r="AS21" s="503"/>
      <c r="AT21" s="496"/>
      <c r="AU21" s="497"/>
      <c r="AV21" s="498"/>
      <c r="AW21" s="503"/>
      <c r="AX21" s="496"/>
      <c r="AY21" s="497"/>
      <c r="AZ21" s="497"/>
      <c r="BA21" s="498"/>
      <c r="BB21" s="634" t="s">
        <v>6</v>
      </c>
      <c r="BC21" s="635"/>
      <c r="BD21" s="636"/>
      <c r="BE21" s="634" t="s">
        <v>216</v>
      </c>
      <c r="BF21" s="635"/>
      <c r="BG21" s="636"/>
      <c r="BH21" s="643" t="s">
        <v>4</v>
      </c>
      <c r="BI21" s="643" t="s">
        <v>100</v>
      </c>
      <c r="BJ21" s="643" t="s">
        <v>51</v>
      </c>
      <c r="BK21" s="490" t="s">
        <v>531</v>
      </c>
      <c r="BL21" s="643" t="s">
        <v>43</v>
      </c>
      <c r="BM21" s="643" t="s">
        <v>1</v>
      </c>
    </row>
    <row r="22" spans="1:65" ht="15.75" customHeight="1">
      <c r="A22" s="521"/>
      <c r="B22" s="7">
        <v>1</v>
      </c>
      <c r="C22" s="7">
        <v>8</v>
      </c>
      <c r="D22" s="7">
        <v>15</v>
      </c>
      <c r="E22" s="7">
        <v>22</v>
      </c>
      <c r="F22" s="504" t="s">
        <v>387</v>
      </c>
      <c r="G22" s="7">
        <v>6</v>
      </c>
      <c r="H22" s="7">
        <v>13</v>
      </c>
      <c r="I22" s="7">
        <v>20</v>
      </c>
      <c r="J22" s="504" t="s">
        <v>388</v>
      </c>
      <c r="K22" s="7">
        <v>3</v>
      </c>
      <c r="L22" s="7">
        <v>10</v>
      </c>
      <c r="M22" s="7">
        <v>17</v>
      </c>
      <c r="N22" s="7">
        <v>24</v>
      </c>
      <c r="O22" s="7">
        <v>1</v>
      </c>
      <c r="P22" s="7">
        <v>8</v>
      </c>
      <c r="Q22" s="7">
        <v>15</v>
      </c>
      <c r="R22" s="7">
        <v>22</v>
      </c>
      <c r="S22" s="504" t="s">
        <v>389</v>
      </c>
      <c r="T22" s="7">
        <v>5</v>
      </c>
      <c r="U22" s="7">
        <v>12</v>
      </c>
      <c r="V22" s="7">
        <v>19</v>
      </c>
      <c r="W22" s="504" t="s">
        <v>390</v>
      </c>
      <c r="X22" s="7">
        <v>2</v>
      </c>
      <c r="Y22" s="7">
        <v>9</v>
      </c>
      <c r="Z22" s="7">
        <v>16</v>
      </c>
      <c r="AA22" s="504" t="s">
        <v>391</v>
      </c>
      <c r="AB22" s="7">
        <v>2</v>
      </c>
      <c r="AC22" s="7">
        <v>9</v>
      </c>
      <c r="AD22" s="7">
        <v>16</v>
      </c>
      <c r="AE22" s="7">
        <v>23</v>
      </c>
      <c r="AF22" s="504" t="s">
        <v>392</v>
      </c>
      <c r="AG22" s="7">
        <v>6</v>
      </c>
      <c r="AH22" s="7">
        <v>13</v>
      </c>
      <c r="AI22" s="7">
        <v>20</v>
      </c>
      <c r="AJ22" s="504" t="s">
        <v>393</v>
      </c>
      <c r="AK22" s="7">
        <v>4</v>
      </c>
      <c r="AL22" s="7">
        <v>11</v>
      </c>
      <c r="AM22" s="7">
        <v>18</v>
      </c>
      <c r="AN22" s="7">
        <v>25</v>
      </c>
      <c r="AO22" s="7">
        <v>1</v>
      </c>
      <c r="AP22" s="7">
        <v>8</v>
      </c>
      <c r="AQ22" s="7">
        <v>15</v>
      </c>
      <c r="AR22" s="7">
        <v>22</v>
      </c>
      <c r="AS22" s="504" t="s">
        <v>394</v>
      </c>
      <c r="AT22" s="7">
        <v>6</v>
      </c>
      <c r="AU22" s="7">
        <v>13</v>
      </c>
      <c r="AV22" s="7">
        <v>20</v>
      </c>
      <c r="AW22" s="504" t="s">
        <v>395</v>
      </c>
      <c r="AX22" s="7">
        <v>2</v>
      </c>
      <c r="AY22" s="7">
        <v>9</v>
      </c>
      <c r="AZ22" s="7">
        <v>16</v>
      </c>
      <c r="BA22" s="7">
        <v>23</v>
      </c>
      <c r="BB22" s="637"/>
      <c r="BC22" s="638"/>
      <c r="BD22" s="639"/>
      <c r="BE22" s="637"/>
      <c r="BF22" s="638"/>
      <c r="BG22" s="639"/>
      <c r="BH22" s="644"/>
      <c r="BI22" s="644"/>
      <c r="BJ22" s="644"/>
      <c r="BK22" s="491"/>
      <c r="BL22" s="644"/>
      <c r="BM22" s="644"/>
    </row>
    <row r="23" spans="1:65" ht="18" customHeight="1">
      <c r="A23" s="521"/>
      <c r="B23" s="4">
        <v>7</v>
      </c>
      <c r="C23" s="4">
        <v>14</v>
      </c>
      <c r="D23" s="4">
        <v>21</v>
      </c>
      <c r="E23" s="4">
        <v>28</v>
      </c>
      <c r="F23" s="505"/>
      <c r="G23" s="4">
        <v>12</v>
      </c>
      <c r="H23" s="4">
        <v>19</v>
      </c>
      <c r="I23" s="4">
        <v>26</v>
      </c>
      <c r="J23" s="505"/>
      <c r="K23" s="4">
        <v>9</v>
      </c>
      <c r="L23" s="4">
        <v>16</v>
      </c>
      <c r="M23" s="4">
        <v>23</v>
      </c>
      <c r="N23" s="4">
        <v>30</v>
      </c>
      <c r="O23" s="4">
        <v>7</v>
      </c>
      <c r="P23" s="4">
        <v>14</v>
      </c>
      <c r="Q23" s="4">
        <v>21</v>
      </c>
      <c r="R23" s="4">
        <v>28</v>
      </c>
      <c r="S23" s="505"/>
      <c r="T23" s="4">
        <v>11</v>
      </c>
      <c r="U23" s="4">
        <v>18</v>
      </c>
      <c r="V23" s="4">
        <v>25</v>
      </c>
      <c r="W23" s="505"/>
      <c r="X23" s="4">
        <v>8</v>
      </c>
      <c r="Y23" s="4">
        <v>15</v>
      </c>
      <c r="Z23" s="4">
        <v>22</v>
      </c>
      <c r="AA23" s="505"/>
      <c r="AB23" s="4">
        <v>8</v>
      </c>
      <c r="AC23" s="4">
        <v>15</v>
      </c>
      <c r="AD23" s="4">
        <v>22</v>
      </c>
      <c r="AE23" s="4">
        <v>29</v>
      </c>
      <c r="AF23" s="505"/>
      <c r="AG23" s="4">
        <v>12</v>
      </c>
      <c r="AH23" s="4">
        <v>19</v>
      </c>
      <c r="AI23" s="4">
        <v>26</v>
      </c>
      <c r="AJ23" s="505"/>
      <c r="AK23" s="4">
        <v>10</v>
      </c>
      <c r="AL23" s="4">
        <v>17</v>
      </c>
      <c r="AM23" s="4">
        <v>24</v>
      </c>
      <c r="AN23" s="4">
        <v>31</v>
      </c>
      <c r="AO23" s="4">
        <v>7</v>
      </c>
      <c r="AP23" s="4">
        <v>14</v>
      </c>
      <c r="AQ23" s="4">
        <v>21</v>
      </c>
      <c r="AR23" s="4">
        <v>28</v>
      </c>
      <c r="AS23" s="505"/>
      <c r="AT23" s="4">
        <v>12</v>
      </c>
      <c r="AU23" s="4">
        <v>19</v>
      </c>
      <c r="AV23" s="4">
        <v>26</v>
      </c>
      <c r="AW23" s="505"/>
      <c r="AX23" s="4">
        <v>8</v>
      </c>
      <c r="AY23" s="4">
        <v>15</v>
      </c>
      <c r="AZ23" s="4">
        <v>22</v>
      </c>
      <c r="BA23" s="4">
        <v>31</v>
      </c>
      <c r="BB23" s="640"/>
      <c r="BC23" s="641"/>
      <c r="BD23" s="642"/>
      <c r="BE23" s="640"/>
      <c r="BF23" s="641"/>
      <c r="BG23" s="642"/>
      <c r="BH23" s="644"/>
      <c r="BI23" s="644"/>
      <c r="BJ23" s="644"/>
      <c r="BK23" s="491"/>
      <c r="BL23" s="644"/>
      <c r="BM23" s="644"/>
    </row>
    <row r="24" spans="1:65" ht="15.75" customHeight="1">
      <c r="A24" s="522"/>
      <c r="B24" s="194">
        <v>1</v>
      </c>
      <c r="C24" s="194">
        <v>2</v>
      </c>
      <c r="D24" s="194">
        <v>3</v>
      </c>
      <c r="E24" s="194">
        <v>4</v>
      </c>
      <c r="F24" s="194">
        <v>5</v>
      </c>
      <c r="G24" s="194">
        <v>6</v>
      </c>
      <c r="H24" s="194">
        <v>7</v>
      </c>
      <c r="I24" s="194">
        <v>8</v>
      </c>
      <c r="J24" s="194">
        <v>9</v>
      </c>
      <c r="K24" s="194">
        <v>10</v>
      </c>
      <c r="L24" s="194">
        <v>11</v>
      </c>
      <c r="M24" s="194">
        <v>12</v>
      </c>
      <c r="N24" s="194">
        <v>13</v>
      </c>
      <c r="O24" s="194">
        <v>14</v>
      </c>
      <c r="P24" s="194">
        <v>15</v>
      </c>
      <c r="Q24" s="194">
        <v>16</v>
      </c>
      <c r="R24" s="194">
        <v>17</v>
      </c>
      <c r="S24" s="194">
        <v>18</v>
      </c>
      <c r="T24" s="194">
        <v>19</v>
      </c>
      <c r="U24" s="194">
        <v>20</v>
      </c>
      <c r="V24" s="194">
        <v>21</v>
      </c>
      <c r="W24" s="194">
        <v>22</v>
      </c>
      <c r="X24" s="194">
        <v>23</v>
      </c>
      <c r="Y24" s="194">
        <v>24</v>
      </c>
      <c r="Z24" s="194">
        <v>25</v>
      </c>
      <c r="AA24" s="194">
        <v>26</v>
      </c>
      <c r="AB24" s="194">
        <v>27</v>
      </c>
      <c r="AC24" s="194">
        <v>28</v>
      </c>
      <c r="AD24" s="194">
        <v>29</v>
      </c>
      <c r="AE24" s="194">
        <v>30</v>
      </c>
      <c r="AF24" s="194">
        <v>31</v>
      </c>
      <c r="AG24" s="194">
        <v>32</v>
      </c>
      <c r="AH24" s="194">
        <v>33</v>
      </c>
      <c r="AI24" s="194">
        <v>34</v>
      </c>
      <c r="AJ24" s="194">
        <v>35</v>
      </c>
      <c r="AK24" s="194">
        <v>36</v>
      </c>
      <c r="AL24" s="194">
        <v>37</v>
      </c>
      <c r="AM24" s="194">
        <v>38</v>
      </c>
      <c r="AN24" s="194">
        <v>39</v>
      </c>
      <c r="AO24" s="194">
        <v>40</v>
      </c>
      <c r="AP24" s="194">
        <v>41</v>
      </c>
      <c r="AQ24" s="194">
        <v>42</v>
      </c>
      <c r="AR24" s="194">
        <v>43</v>
      </c>
      <c r="AS24" s="194">
        <v>44</v>
      </c>
      <c r="AT24" s="194">
        <v>45</v>
      </c>
      <c r="AU24" s="194">
        <v>46</v>
      </c>
      <c r="AV24" s="194">
        <v>47</v>
      </c>
      <c r="AW24" s="194">
        <v>48</v>
      </c>
      <c r="AX24" s="194">
        <v>49</v>
      </c>
      <c r="AY24" s="194">
        <v>50</v>
      </c>
      <c r="AZ24" s="194">
        <v>51</v>
      </c>
      <c r="BA24" s="194">
        <v>52</v>
      </c>
      <c r="BB24" s="195" t="s">
        <v>63</v>
      </c>
      <c r="BC24" s="195" t="s">
        <v>31</v>
      </c>
      <c r="BD24" s="196" t="s">
        <v>52</v>
      </c>
      <c r="BE24" s="195" t="s">
        <v>63</v>
      </c>
      <c r="BF24" s="195" t="s">
        <v>31</v>
      </c>
      <c r="BG24" s="196" t="s">
        <v>52</v>
      </c>
      <c r="BH24" s="645"/>
      <c r="BI24" s="645"/>
      <c r="BJ24" s="645"/>
      <c r="BK24" s="492"/>
      <c r="BL24" s="645"/>
      <c r="BM24" s="645"/>
    </row>
    <row r="25" spans="1:65" ht="15.75" customHeight="1">
      <c r="A25" s="8">
        <v>1</v>
      </c>
      <c r="B25" s="9" t="s">
        <v>20</v>
      </c>
      <c r="C25" s="9" t="s">
        <v>20</v>
      </c>
      <c r="D25" s="9" t="s">
        <v>20</v>
      </c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9" t="s">
        <v>20</v>
      </c>
      <c r="K25" s="9" t="s">
        <v>20</v>
      </c>
      <c r="L25" s="9" t="s">
        <v>20</v>
      </c>
      <c r="M25" s="9" t="s">
        <v>20</v>
      </c>
      <c r="N25" s="337" t="s">
        <v>63</v>
      </c>
      <c r="O25" s="337" t="s">
        <v>63</v>
      </c>
      <c r="P25" s="337" t="s">
        <v>63</v>
      </c>
      <c r="Q25" s="337" t="s">
        <v>63</v>
      </c>
      <c r="R25" s="337" t="s">
        <v>63</v>
      </c>
      <c r="S25" s="338" t="s">
        <v>27</v>
      </c>
      <c r="T25" s="338" t="s">
        <v>27</v>
      </c>
      <c r="U25" s="337" t="s">
        <v>31</v>
      </c>
      <c r="V25" s="337" t="s">
        <v>31</v>
      </c>
      <c r="W25" s="337" t="s">
        <v>31</v>
      </c>
      <c r="X25" s="337" t="s">
        <v>31</v>
      </c>
      <c r="Y25" s="337" t="s">
        <v>31</v>
      </c>
      <c r="Z25" s="337" t="s">
        <v>31</v>
      </c>
      <c r="AA25" s="337" t="s">
        <v>31</v>
      </c>
      <c r="AB25" s="337" t="s">
        <v>31</v>
      </c>
      <c r="AC25" s="337" t="s">
        <v>31</v>
      </c>
      <c r="AD25" s="337" t="s">
        <v>31</v>
      </c>
      <c r="AE25" s="337" t="s">
        <v>31</v>
      </c>
      <c r="AF25" s="337" t="s">
        <v>154</v>
      </c>
      <c r="AG25" s="337" t="s">
        <v>154</v>
      </c>
      <c r="AH25" s="337" t="s">
        <v>154</v>
      </c>
      <c r="AI25" s="337" t="s">
        <v>154</v>
      </c>
      <c r="AJ25" s="337" t="s">
        <v>31</v>
      </c>
      <c r="AK25" s="337" t="s">
        <v>31</v>
      </c>
      <c r="AL25" s="337" t="s">
        <v>31</v>
      </c>
      <c r="AM25" s="337" t="s">
        <v>31</v>
      </c>
      <c r="AN25" s="337" t="s">
        <v>31</v>
      </c>
      <c r="AO25" s="337" t="s">
        <v>31</v>
      </c>
      <c r="AP25" s="337" t="s">
        <v>31</v>
      </c>
      <c r="AQ25" s="337" t="s">
        <v>31</v>
      </c>
      <c r="AR25" s="337" t="s">
        <v>31</v>
      </c>
      <c r="AS25" s="338" t="s">
        <v>27</v>
      </c>
      <c r="AT25" s="338" t="s">
        <v>27</v>
      </c>
      <c r="AU25" s="338" t="s">
        <v>27</v>
      </c>
      <c r="AV25" s="338" t="s">
        <v>27</v>
      </c>
      <c r="AW25" s="338" t="s">
        <v>27</v>
      </c>
      <c r="AX25" s="338" t="s">
        <v>27</v>
      </c>
      <c r="AY25" s="338" t="s">
        <v>27</v>
      </c>
      <c r="AZ25" s="338" t="s">
        <v>27</v>
      </c>
      <c r="BA25" s="338" t="s">
        <v>27</v>
      </c>
      <c r="BB25" s="19">
        <f>COUNTIF(B25:BA25,"о")</f>
        <v>5</v>
      </c>
      <c r="BC25" s="19">
        <f>COUNTIF(B25:BA25,"в")</f>
        <v>20</v>
      </c>
      <c r="BD25" s="19">
        <f>SUM(BB25:BC25)</f>
        <v>25</v>
      </c>
      <c r="BE25" s="19">
        <f>COUNTIF(B25:BA25,$R$33)</f>
        <v>0</v>
      </c>
      <c r="BF25" s="19">
        <f>COUNTIF(B25:BA25,$R$35)</f>
        <v>4</v>
      </c>
      <c r="BG25" s="19">
        <f>SUM(BE25:BF25)</f>
        <v>4</v>
      </c>
      <c r="BH25" s="19">
        <f>COUNTIF(B25:BA25,$AF$33)</f>
        <v>0</v>
      </c>
      <c r="BI25" s="19">
        <f>COUNTIF(B25:BA25,$AF$35)</f>
        <v>0</v>
      </c>
      <c r="BJ25" s="19">
        <f>COUNTIF(B25:BA25,$AZ$33)</f>
        <v>0</v>
      </c>
      <c r="BK25" s="19">
        <f>COUNTIF(B25:BA25,$AQ$35)</f>
        <v>0</v>
      </c>
      <c r="BL25" s="19">
        <f>COUNTIF(B25:BA25,$BF$33)</f>
        <v>11</v>
      </c>
      <c r="BM25" s="19">
        <f>SUM(BG25:BL25)+BD25</f>
        <v>40</v>
      </c>
    </row>
    <row r="26" spans="1:65" ht="15.75" customHeight="1">
      <c r="A26" s="8">
        <v>2</v>
      </c>
      <c r="B26" s="337" t="s">
        <v>63</v>
      </c>
      <c r="C26" s="337" t="s">
        <v>63</v>
      </c>
      <c r="D26" s="337" t="s">
        <v>63</v>
      </c>
      <c r="E26" s="337" t="s">
        <v>63</v>
      </c>
      <c r="F26" s="337" t="s">
        <v>63</v>
      </c>
      <c r="G26" s="337" t="s">
        <v>63</v>
      </c>
      <c r="H26" s="337" t="s">
        <v>63</v>
      </c>
      <c r="I26" s="337" t="s">
        <v>63</v>
      </c>
      <c r="J26" s="337" t="s">
        <v>63</v>
      </c>
      <c r="K26" s="337" t="s">
        <v>63</v>
      </c>
      <c r="L26" s="337" t="s">
        <v>63</v>
      </c>
      <c r="M26" s="337" t="s">
        <v>153</v>
      </c>
      <c r="N26" s="337" t="s">
        <v>153</v>
      </c>
      <c r="O26" s="337" t="s">
        <v>153</v>
      </c>
      <c r="P26" s="337" t="s">
        <v>153</v>
      </c>
      <c r="Q26" s="337" t="s">
        <v>63</v>
      </c>
      <c r="R26" s="337" t="s">
        <v>63</v>
      </c>
      <c r="S26" s="338" t="s">
        <v>27</v>
      </c>
      <c r="T26" s="338" t="s">
        <v>27</v>
      </c>
      <c r="U26" s="337" t="s">
        <v>31</v>
      </c>
      <c r="V26" s="337" t="s">
        <v>31</v>
      </c>
      <c r="W26" s="337" t="s">
        <v>31</v>
      </c>
      <c r="X26" s="337" t="s">
        <v>31</v>
      </c>
      <c r="Y26" s="337" t="s">
        <v>31</v>
      </c>
      <c r="Z26" s="337" t="s">
        <v>31</v>
      </c>
      <c r="AA26" s="337" t="s">
        <v>31</v>
      </c>
      <c r="AB26" s="337" t="s">
        <v>31</v>
      </c>
      <c r="AC26" s="337" t="s">
        <v>31</v>
      </c>
      <c r="AD26" s="337" t="s">
        <v>31</v>
      </c>
      <c r="AE26" s="337" t="s">
        <v>31</v>
      </c>
      <c r="AF26" s="337" t="s">
        <v>31</v>
      </c>
      <c r="AG26" s="337" t="s">
        <v>31</v>
      </c>
      <c r="AH26" s="337" t="s">
        <v>31</v>
      </c>
      <c r="AI26" s="337" t="s">
        <v>31</v>
      </c>
      <c r="AJ26" s="337" t="s">
        <v>31</v>
      </c>
      <c r="AK26" s="337" t="s">
        <v>31</v>
      </c>
      <c r="AL26" s="337" t="s">
        <v>31</v>
      </c>
      <c r="AM26" s="337" t="s">
        <v>31</v>
      </c>
      <c r="AN26" s="337" t="s">
        <v>31</v>
      </c>
      <c r="AO26" s="337" t="s">
        <v>47</v>
      </c>
      <c r="AP26" s="337" t="s">
        <v>47</v>
      </c>
      <c r="AQ26" s="337" t="s">
        <v>47</v>
      </c>
      <c r="AR26" s="337" t="s">
        <v>47</v>
      </c>
      <c r="AS26" s="338" t="s">
        <v>27</v>
      </c>
      <c r="AT26" s="338" t="s">
        <v>27</v>
      </c>
      <c r="AU26" s="338" t="s">
        <v>27</v>
      </c>
      <c r="AV26" s="338" t="s">
        <v>27</v>
      </c>
      <c r="AW26" s="338" t="s">
        <v>27</v>
      </c>
      <c r="AX26" s="338" t="s">
        <v>27</v>
      </c>
      <c r="AY26" s="338" t="s">
        <v>27</v>
      </c>
      <c r="AZ26" s="338" t="s">
        <v>27</v>
      </c>
      <c r="BA26" s="338" t="s">
        <v>27</v>
      </c>
      <c r="BB26" s="19">
        <f>COUNTIF(B26:BA26,"о")</f>
        <v>13</v>
      </c>
      <c r="BC26" s="19">
        <f>COUNTIF(B26:BA26,"в")</f>
        <v>20</v>
      </c>
      <c r="BD26" s="19">
        <f>SUM(BB26:BC26)</f>
        <v>33</v>
      </c>
      <c r="BE26" s="19">
        <f>COUNTIF(B26:BA26,$R$33)</f>
        <v>4</v>
      </c>
      <c r="BF26" s="19">
        <f>COUNTIF(B26:BA26,$R$35)</f>
        <v>0</v>
      </c>
      <c r="BG26" s="19">
        <f>SUM(BE26:BF26)</f>
        <v>4</v>
      </c>
      <c r="BH26" s="19">
        <f>COUNTIF(B26:BA26,$AF$33)</f>
        <v>4</v>
      </c>
      <c r="BI26" s="19">
        <f>COUNTIF(B26:BA26,$AF$35)</f>
        <v>0</v>
      </c>
      <c r="BJ26" s="19">
        <f>COUNTIF(B26:BA26,$AZ$33)</f>
        <v>0</v>
      </c>
      <c r="BK26" s="19">
        <f>COUNTIF(B26:BA26,$AQ$35)</f>
        <v>0</v>
      </c>
      <c r="BL26" s="19">
        <f>COUNTIF(B26:BA26,$BF$33)</f>
        <v>11</v>
      </c>
      <c r="BM26" s="19">
        <f>SUM(BG26:BL26)+BD26</f>
        <v>52</v>
      </c>
    </row>
    <row r="27" spans="1:65" ht="15.75" customHeight="1">
      <c r="A27" s="8">
        <v>3</v>
      </c>
      <c r="B27" s="337" t="s">
        <v>63</v>
      </c>
      <c r="C27" s="337" t="s">
        <v>63</v>
      </c>
      <c r="D27" s="337" t="s">
        <v>63</v>
      </c>
      <c r="E27" s="337" t="s">
        <v>63</v>
      </c>
      <c r="F27" s="337" t="s">
        <v>63</v>
      </c>
      <c r="G27" s="337" t="s">
        <v>63</v>
      </c>
      <c r="H27" s="337" t="s">
        <v>63</v>
      </c>
      <c r="I27" s="337" t="s">
        <v>63</v>
      </c>
      <c r="J27" s="337" t="s">
        <v>63</v>
      </c>
      <c r="K27" s="337" t="s">
        <v>63</v>
      </c>
      <c r="L27" s="337" t="s">
        <v>153</v>
      </c>
      <c r="M27" s="337" t="s">
        <v>153</v>
      </c>
      <c r="N27" s="337" t="s">
        <v>153</v>
      </c>
      <c r="O27" s="337" t="s">
        <v>153</v>
      </c>
      <c r="P27" s="337" t="s">
        <v>153</v>
      </c>
      <c r="Q27" s="337" t="s">
        <v>153</v>
      </c>
      <c r="R27" s="337" t="s">
        <v>63</v>
      </c>
      <c r="S27" s="338" t="s">
        <v>27</v>
      </c>
      <c r="T27" s="338" t="s">
        <v>27</v>
      </c>
      <c r="U27" s="337" t="s">
        <v>31</v>
      </c>
      <c r="V27" s="337" t="s">
        <v>31</v>
      </c>
      <c r="W27" s="337" t="s">
        <v>31</v>
      </c>
      <c r="X27" s="337" t="s">
        <v>31</v>
      </c>
      <c r="Y27" s="337" t="s">
        <v>31</v>
      </c>
      <c r="Z27" s="337" t="s">
        <v>31</v>
      </c>
      <c r="AA27" s="338" t="s">
        <v>27</v>
      </c>
      <c r="AB27" s="338" t="s">
        <v>27</v>
      </c>
      <c r="AC27" s="338" t="s">
        <v>27</v>
      </c>
      <c r="AD27" s="338" t="s">
        <v>27</v>
      </c>
      <c r="AE27" s="338" t="s">
        <v>27</v>
      </c>
      <c r="AF27" s="338" t="s">
        <v>27</v>
      </c>
      <c r="AG27" s="338" t="s">
        <v>27</v>
      </c>
      <c r="AH27" s="338" t="s">
        <v>27</v>
      </c>
      <c r="AI27" s="338" t="s">
        <v>27</v>
      </c>
      <c r="AJ27" s="339" t="s">
        <v>48</v>
      </c>
      <c r="AK27" s="339" t="s">
        <v>48</v>
      </c>
      <c r="AL27" s="339" t="s">
        <v>48</v>
      </c>
      <c r="AM27" s="339" t="s">
        <v>48</v>
      </c>
      <c r="AN27" s="339" t="s">
        <v>48</v>
      </c>
      <c r="AO27" s="339" t="s">
        <v>48</v>
      </c>
      <c r="AP27" s="339" t="s">
        <v>48</v>
      </c>
      <c r="AQ27" s="339" t="s">
        <v>48</v>
      </c>
      <c r="AR27" s="339" t="s">
        <v>48</v>
      </c>
      <c r="AS27" s="339" t="s">
        <v>48</v>
      </c>
      <c r="AT27" s="339" t="s">
        <v>48</v>
      </c>
      <c r="AU27" s="339" t="s">
        <v>48</v>
      </c>
      <c r="AV27" s="339" t="s">
        <v>48</v>
      </c>
      <c r="AW27" s="339" t="s">
        <v>48</v>
      </c>
      <c r="AX27" s="339" t="s">
        <v>48</v>
      </c>
      <c r="AY27" s="339" t="s">
        <v>48</v>
      </c>
      <c r="AZ27" s="339" t="s">
        <v>48</v>
      </c>
      <c r="BA27" s="339" t="s">
        <v>48</v>
      </c>
      <c r="BB27" s="19">
        <f>COUNTIF(B27:BA27,"о")</f>
        <v>11</v>
      </c>
      <c r="BC27" s="19">
        <f>COUNTIF(B27:BA27,"в")</f>
        <v>6</v>
      </c>
      <c r="BD27" s="19">
        <f>SUM(BB27:BC27)</f>
        <v>17</v>
      </c>
      <c r="BE27" s="19">
        <f>COUNTIF(B27:BA27,$R$33)</f>
        <v>6</v>
      </c>
      <c r="BF27" s="19">
        <f>COUNTIF(B27:BA27,$R$35)</f>
        <v>0</v>
      </c>
      <c r="BG27" s="19">
        <f>SUM(BE27:BF27)</f>
        <v>6</v>
      </c>
      <c r="BH27" s="19">
        <f>COUNTIF(B27:BA27,$AF$33)</f>
        <v>0</v>
      </c>
      <c r="BI27" s="19">
        <f>COUNTIF(B27:BA27,$AF$35)</f>
        <v>18</v>
      </c>
      <c r="BJ27" s="19">
        <f>COUNTIF(B27:BA27,$AZ$33)</f>
        <v>0</v>
      </c>
      <c r="BK27" s="19">
        <f>COUNTIF(B27:BA27,$AQ$35)</f>
        <v>0</v>
      </c>
      <c r="BL27" s="19">
        <f>COUNTIF(B27:BA27,$BF$33)</f>
        <v>11</v>
      </c>
      <c r="BM27" s="19">
        <f>SUM(BG27:BL27)+BD27</f>
        <v>52</v>
      </c>
    </row>
    <row r="28" spans="1:65" ht="15.75" customHeight="1">
      <c r="A28" s="8">
        <v>4</v>
      </c>
      <c r="B28" s="337" t="s">
        <v>48</v>
      </c>
      <c r="C28" s="337" t="s">
        <v>48</v>
      </c>
      <c r="D28" s="337" t="s">
        <v>48</v>
      </c>
      <c r="E28" s="337" t="s">
        <v>63</v>
      </c>
      <c r="F28" s="337" t="s">
        <v>63</v>
      </c>
      <c r="G28" s="337" t="s">
        <v>63</v>
      </c>
      <c r="H28" s="337" t="s">
        <v>63</v>
      </c>
      <c r="I28" s="337" t="s">
        <v>63</v>
      </c>
      <c r="J28" s="337" t="s">
        <v>63</v>
      </c>
      <c r="K28" s="337" t="s">
        <v>63</v>
      </c>
      <c r="L28" s="337" t="s">
        <v>153</v>
      </c>
      <c r="M28" s="337" t="s">
        <v>153</v>
      </c>
      <c r="N28" s="337" t="s">
        <v>153</v>
      </c>
      <c r="O28" s="337" t="s">
        <v>153</v>
      </c>
      <c r="P28" s="337" t="s">
        <v>153</v>
      </c>
      <c r="Q28" s="337" t="s">
        <v>153</v>
      </c>
      <c r="R28" s="337" t="s">
        <v>63</v>
      </c>
      <c r="S28" s="338" t="s">
        <v>27</v>
      </c>
      <c r="T28" s="338" t="s">
        <v>27</v>
      </c>
      <c r="U28" s="336" t="s">
        <v>48</v>
      </c>
      <c r="V28" s="336" t="s">
        <v>48</v>
      </c>
      <c r="W28" s="336" t="s">
        <v>48</v>
      </c>
      <c r="X28" s="336" t="s">
        <v>48</v>
      </c>
      <c r="Y28" s="337" t="s">
        <v>30</v>
      </c>
      <c r="Z28" s="337" t="s">
        <v>30</v>
      </c>
      <c r="AA28" s="337" t="s">
        <v>30</v>
      </c>
      <c r="AB28" s="337" t="s">
        <v>30</v>
      </c>
      <c r="AC28" s="337" t="s">
        <v>30</v>
      </c>
      <c r="AD28" s="337" t="s">
        <v>30</v>
      </c>
      <c r="AE28" s="9" t="s">
        <v>20</v>
      </c>
      <c r="AF28" s="9" t="s">
        <v>20</v>
      </c>
      <c r="AG28" s="9" t="s">
        <v>20</v>
      </c>
      <c r="AH28" s="9" t="s">
        <v>20</v>
      </c>
      <c r="AI28" s="9" t="s">
        <v>20</v>
      </c>
      <c r="AJ28" s="9" t="s">
        <v>20</v>
      </c>
      <c r="AK28" s="9" t="s">
        <v>20</v>
      </c>
      <c r="AL28" s="9" t="s">
        <v>20</v>
      </c>
      <c r="AM28" s="9" t="s">
        <v>20</v>
      </c>
      <c r="AN28" s="9" t="s">
        <v>20</v>
      </c>
      <c r="AO28" s="9" t="s">
        <v>20</v>
      </c>
      <c r="AP28" s="9" t="s">
        <v>20</v>
      </c>
      <c r="AQ28" s="9" t="s">
        <v>20</v>
      </c>
      <c r="AR28" s="9" t="s">
        <v>20</v>
      </c>
      <c r="AS28" s="9" t="s">
        <v>20</v>
      </c>
      <c r="AT28" s="9" t="s">
        <v>20</v>
      </c>
      <c r="AU28" s="9" t="s">
        <v>20</v>
      </c>
      <c r="AV28" s="9" t="s">
        <v>20</v>
      </c>
      <c r="AW28" s="9" t="s">
        <v>20</v>
      </c>
      <c r="AX28" s="9" t="s">
        <v>20</v>
      </c>
      <c r="AY28" s="9" t="s">
        <v>20</v>
      </c>
      <c r="AZ28" s="9" t="s">
        <v>20</v>
      </c>
      <c r="BA28" s="9" t="s">
        <v>20</v>
      </c>
      <c r="BB28" s="19">
        <f>COUNTIF(B28:BA28,"о")</f>
        <v>8</v>
      </c>
      <c r="BC28" s="19">
        <f>COUNTIF(B28:BA28,"в")</f>
        <v>0</v>
      </c>
      <c r="BD28" s="19">
        <f>SUM(BB28:BC28)</f>
        <v>8</v>
      </c>
      <c r="BE28" s="19">
        <f>COUNTIF(B28:BA28,$R$33)</f>
        <v>6</v>
      </c>
      <c r="BF28" s="19">
        <f>COUNTIF(B28:BA28,$R$35)</f>
        <v>0</v>
      </c>
      <c r="BG28" s="19">
        <f>SUM(BE28:BF28)</f>
        <v>6</v>
      </c>
      <c r="BH28" s="19">
        <f>COUNTIF(B28:BA28,$AF$33)</f>
        <v>0</v>
      </c>
      <c r="BI28" s="19">
        <f>COUNTIF(B28:BA28,$AF$35)</f>
        <v>7</v>
      </c>
      <c r="BJ28" s="19">
        <f>COUNTIF(B28:BA28,$AZ$33)</f>
        <v>0</v>
      </c>
      <c r="BK28" s="19">
        <f>COUNTIF(B28:BA28,$AQ$35)</f>
        <v>6</v>
      </c>
      <c r="BL28" s="19">
        <f>COUNTIF(B28:BA28,$BF$33)</f>
        <v>2</v>
      </c>
      <c r="BM28" s="19">
        <f>SUM(BG28:BL28)+BD28</f>
        <v>29</v>
      </c>
    </row>
    <row r="29" spans="1:65" ht="15.75" customHeight="1" hidden="1">
      <c r="A29" s="8">
        <v>5</v>
      </c>
      <c r="B29" s="337" t="s">
        <v>24</v>
      </c>
      <c r="C29" s="337" t="s">
        <v>24</v>
      </c>
      <c r="D29" s="337" t="s">
        <v>24</v>
      </c>
      <c r="E29" s="337" t="s">
        <v>24</v>
      </c>
      <c r="F29" s="337" t="s">
        <v>24</v>
      </c>
      <c r="G29" s="337" t="s">
        <v>24</v>
      </c>
      <c r="H29" s="337" t="s">
        <v>24</v>
      </c>
      <c r="I29" s="337" t="s">
        <v>24</v>
      </c>
      <c r="J29" s="337" t="s">
        <v>24</v>
      </c>
      <c r="K29" s="337" t="s">
        <v>24</v>
      </c>
      <c r="L29" s="337" t="s">
        <v>24</v>
      </c>
      <c r="M29" s="337" t="s">
        <v>24</v>
      </c>
      <c r="N29" s="337" t="s">
        <v>24</v>
      </c>
      <c r="O29" s="337" t="s">
        <v>24</v>
      </c>
      <c r="P29" s="337" t="s">
        <v>24</v>
      </c>
      <c r="Q29" s="337" t="s">
        <v>24</v>
      </c>
      <c r="R29" s="337" t="s">
        <v>24</v>
      </c>
      <c r="S29" s="337" t="s">
        <v>24</v>
      </c>
      <c r="T29" s="337" t="s">
        <v>24</v>
      </c>
      <c r="U29" s="337" t="s">
        <v>24</v>
      </c>
      <c r="V29" s="337" t="s">
        <v>24</v>
      </c>
      <c r="W29" s="337" t="s">
        <v>24</v>
      </c>
      <c r="X29" s="337" t="s">
        <v>24</v>
      </c>
      <c r="Y29" s="337" t="s">
        <v>24</v>
      </c>
      <c r="Z29" s="337" t="s">
        <v>24</v>
      </c>
      <c r="AA29" s="337" t="s">
        <v>24</v>
      </c>
      <c r="AB29" s="337" t="s">
        <v>24</v>
      </c>
      <c r="AC29" s="337" t="s">
        <v>24</v>
      </c>
      <c r="AD29" s="337" t="s">
        <v>24</v>
      </c>
      <c r="AE29" s="337" t="s">
        <v>24</v>
      </c>
      <c r="AF29" s="337" t="s">
        <v>24</v>
      </c>
      <c r="AG29" s="337" t="s">
        <v>24</v>
      </c>
      <c r="AH29" s="337" t="s">
        <v>24</v>
      </c>
      <c r="AI29" s="337" t="s">
        <v>24</v>
      </c>
      <c r="AJ29" s="337" t="s">
        <v>24</v>
      </c>
      <c r="AK29" s="337" t="s">
        <v>24</v>
      </c>
      <c r="AL29" s="337" t="s">
        <v>24</v>
      </c>
      <c r="AM29" s="337" t="s">
        <v>24</v>
      </c>
      <c r="AN29" s="337" t="s">
        <v>24</v>
      </c>
      <c r="AO29" s="337" t="s">
        <v>24</v>
      </c>
      <c r="AP29" s="337" t="s">
        <v>24</v>
      </c>
      <c r="AQ29" s="337" t="s">
        <v>24</v>
      </c>
      <c r="AR29" s="337" t="s">
        <v>24</v>
      </c>
      <c r="AS29" s="337" t="s">
        <v>24</v>
      </c>
      <c r="AT29" s="337" t="s">
        <v>24</v>
      </c>
      <c r="AU29" s="337" t="s">
        <v>24</v>
      </c>
      <c r="AV29" s="337"/>
      <c r="AW29" s="337"/>
      <c r="AX29" s="337"/>
      <c r="AY29" s="337"/>
      <c r="AZ29" s="337"/>
      <c r="BA29" s="337"/>
      <c r="BB29" s="19">
        <f>COUNTIF(B29:BA29,"о")</f>
        <v>0</v>
      </c>
      <c r="BC29" s="19">
        <f>COUNTIF(B29:BA29,"в")</f>
        <v>0</v>
      </c>
      <c r="BD29" s="19">
        <f>SUM(BB29:BC29)</f>
        <v>0</v>
      </c>
      <c r="BE29" s="19">
        <f>COUNTIF(B29:BA29,$R$33)</f>
        <v>0</v>
      </c>
      <c r="BF29" s="19">
        <f>COUNTIF(B29:BA29,$R$35)</f>
        <v>0</v>
      </c>
      <c r="BG29" s="19">
        <f>SUM(BE29:BF29)</f>
        <v>0</v>
      </c>
      <c r="BH29" s="19">
        <f>COUNTIF(B29:BA29,$AF$33)</f>
        <v>0</v>
      </c>
      <c r="BI29" s="19">
        <f>COUNTIF(B29:BA29,$AF$35)</f>
        <v>0</v>
      </c>
      <c r="BJ29" s="19">
        <f>COUNTIF(B29:BA29,$AZ$33)</f>
        <v>0</v>
      </c>
      <c r="BK29" s="19">
        <f>COUNTIF(B29:BA29,$AQ$35)</f>
        <v>0</v>
      </c>
      <c r="BL29" s="19">
        <f>COUNTIF(B29:BA29,$AZ$35)</f>
        <v>0</v>
      </c>
      <c r="BM29" s="19">
        <f>SUM(BG29:BL29)+BD29</f>
        <v>0</v>
      </c>
    </row>
    <row r="30" spans="1:65" ht="15.75" customHeight="1" hidden="1">
      <c r="A30" s="197"/>
      <c r="B30" s="340"/>
      <c r="C30" s="341"/>
      <c r="D30" s="341"/>
      <c r="E30" s="341"/>
      <c r="F30" s="341"/>
      <c r="G30" s="341"/>
      <c r="H30" s="341"/>
      <c r="I30" s="342"/>
      <c r="J30" s="341"/>
      <c r="K30" s="341"/>
      <c r="L30" s="343"/>
      <c r="M30" s="341"/>
      <c r="N30" s="343"/>
      <c r="O30" s="341"/>
      <c r="P30" s="343"/>
      <c r="Q30" s="341"/>
      <c r="R30" s="343"/>
      <c r="S30" s="341"/>
      <c r="T30" s="343"/>
      <c r="U30" s="341"/>
      <c r="V30" s="344"/>
      <c r="W30" s="341"/>
      <c r="X30" s="343"/>
      <c r="Y30" s="342"/>
      <c r="Z30" s="341"/>
      <c r="AA30" s="344"/>
      <c r="AB30" s="343"/>
      <c r="AC30" s="342"/>
      <c r="AD30" s="341"/>
      <c r="AE30" s="341"/>
      <c r="AF30" s="343"/>
      <c r="AG30" s="341"/>
      <c r="AH30" s="343"/>
      <c r="AI30" s="341"/>
      <c r="AJ30" s="343"/>
      <c r="AK30" s="341"/>
      <c r="AL30" s="343"/>
      <c r="AM30" s="341"/>
      <c r="AN30" s="343"/>
      <c r="AO30" s="341"/>
      <c r="AP30" s="343"/>
      <c r="AQ30" s="341"/>
      <c r="AR30" s="342"/>
      <c r="AS30" s="341"/>
      <c r="AT30" s="343"/>
      <c r="AU30" s="341"/>
      <c r="AV30" s="343"/>
      <c r="AW30" s="341"/>
      <c r="AX30" s="344"/>
      <c r="AY30" s="337"/>
      <c r="AZ30" s="337"/>
      <c r="BA30" s="337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ht="15.75" customHeight="1">
      <c r="A31" s="31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6"/>
      <c r="AG31" s="346"/>
      <c r="AH31" s="647"/>
      <c r="AI31" s="647"/>
      <c r="AJ31" s="647"/>
      <c r="AK31" s="647"/>
      <c r="AL31" s="647"/>
      <c r="AM31" s="647"/>
      <c r="AN31" s="647"/>
      <c r="AO31" s="647"/>
      <c r="AP31" s="647"/>
      <c r="AQ31" s="345"/>
      <c r="AR31" s="345"/>
      <c r="AS31" s="345"/>
      <c r="AT31" s="345"/>
      <c r="AU31" s="345"/>
      <c r="AV31" s="345"/>
      <c r="AW31" s="345"/>
      <c r="AX31" s="345"/>
      <c r="AY31" s="646" t="s">
        <v>49</v>
      </c>
      <c r="AZ31" s="646"/>
      <c r="BA31" s="646"/>
      <c r="BB31" s="10">
        <f aca="true" t="shared" si="0" ref="BB31:BM31">SUM(BB25:BB29)</f>
        <v>37</v>
      </c>
      <c r="BC31" s="10">
        <f t="shared" si="0"/>
        <v>46</v>
      </c>
      <c r="BD31" s="10">
        <f t="shared" si="0"/>
        <v>83</v>
      </c>
      <c r="BE31" s="10">
        <f t="shared" si="0"/>
        <v>16</v>
      </c>
      <c r="BF31" s="10">
        <f t="shared" si="0"/>
        <v>4</v>
      </c>
      <c r="BG31" s="10">
        <f t="shared" si="0"/>
        <v>20</v>
      </c>
      <c r="BH31" s="10">
        <f t="shared" si="0"/>
        <v>4</v>
      </c>
      <c r="BI31" s="10">
        <f>SUM(BI25:BI29)</f>
        <v>25</v>
      </c>
      <c r="BJ31" s="10">
        <f t="shared" si="0"/>
        <v>0</v>
      </c>
      <c r="BK31" s="10">
        <f t="shared" si="0"/>
        <v>6</v>
      </c>
      <c r="BL31" s="10">
        <f t="shared" si="0"/>
        <v>35</v>
      </c>
      <c r="BM31" s="10">
        <f t="shared" si="0"/>
        <v>173</v>
      </c>
    </row>
    <row r="32" spans="1:65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 s="5" customFormat="1" ht="11.25" customHeight="1">
      <c r="A33" s="31"/>
      <c r="B33" s="9" t="s">
        <v>63</v>
      </c>
      <c r="C33" s="32" t="s">
        <v>20</v>
      </c>
      <c r="D33" s="548" t="s">
        <v>550</v>
      </c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335" t="s">
        <v>153</v>
      </c>
      <c r="S33" s="32" t="s">
        <v>20</v>
      </c>
      <c r="T33" s="548" t="s">
        <v>151</v>
      </c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333" t="s">
        <v>47</v>
      </c>
      <c r="AG33" s="32" t="s">
        <v>20</v>
      </c>
      <c r="AH33" s="545" t="s">
        <v>21</v>
      </c>
      <c r="AI33" s="545"/>
      <c r="AJ33" s="545"/>
      <c r="AK33" s="545"/>
      <c r="AL33" s="545"/>
      <c r="AM33" s="545"/>
      <c r="AN33" s="545"/>
      <c r="AO33" s="545"/>
      <c r="AP33" s="545"/>
      <c r="AQ33" s="329" t="s">
        <v>48</v>
      </c>
      <c r="AR33" s="24" t="s">
        <v>489</v>
      </c>
      <c r="AS33" s="544" t="s">
        <v>490</v>
      </c>
      <c r="AT33" s="544"/>
      <c r="AU33" s="544"/>
      <c r="AV33" s="544"/>
      <c r="AW33" s="544"/>
      <c r="AX33" s="544"/>
      <c r="AY33" s="544"/>
      <c r="AZ33" s="544"/>
      <c r="BA33" s="544"/>
      <c r="BB33" s="544"/>
      <c r="BC33" s="544"/>
      <c r="BD33" s="544"/>
      <c r="BE33" s="547"/>
      <c r="BF33" s="334" t="s">
        <v>27</v>
      </c>
      <c r="BG33" s="32" t="s">
        <v>20</v>
      </c>
      <c r="BH33" s="544" t="s">
        <v>22</v>
      </c>
      <c r="BI33" s="544"/>
      <c r="BJ33" s="544"/>
      <c r="BK33" s="31"/>
      <c r="BL33" s="31"/>
      <c r="BM33" s="31"/>
    </row>
    <row r="34" spans="1:65" s="5" customFormat="1" ht="12.75">
      <c r="A34" s="31"/>
      <c r="B34" s="31"/>
      <c r="C34" s="31"/>
      <c r="D34" s="32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3"/>
      <c r="V34" s="32"/>
      <c r="W34" s="33"/>
      <c r="X34" s="33"/>
      <c r="Y34" s="32"/>
      <c r="Z34" s="33"/>
      <c r="AA34" s="33"/>
      <c r="AB34" s="32"/>
      <c r="AC34" s="33"/>
      <c r="AD34" s="33"/>
      <c r="AE34" s="32"/>
      <c r="AF34" s="33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31"/>
      <c r="BJ34" s="31"/>
      <c r="BK34" s="31"/>
      <c r="BL34" s="31"/>
      <c r="BM34" s="31"/>
    </row>
    <row r="35" spans="1:65" s="5" customFormat="1" ht="11.25" customHeight="1">
      <c r="A35" s="31"/>
      <c r="B35" s="9" t="s">
        <v>31</v>
      </c>
      <c r="C35" s="32" t="s">
        <v>20</v>
      </c>
      <c r="D35" s="548" t="s">
        <v>551</v>
      </c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335" t="s">
        <v>154</v>
      </c>
      <c r="S35" s="32" t="s">
        <v>20</v>
      </c>
      <c r="T35" s="548" t="s">
        <v>152</v>
      </c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8"/>
      <c r="AF35" s="333" t="s">
        <v>48</v>
      </c>
      <c r="AG35" s="32" t="s">
        <v>20</v>
      </c>
      <c r="AH35" s="544" t="s">
        <v>491</v>
      </c>
      <c r="AI35" s="544"/>
      <c r="AJ35" s="544"/>
      <c r="AK35" s="544"/>
      <c r="AL35" s="544"/>
      <c r="AM35" s="544"/>
      <c r="AN35" s="544"/>
      <c r="AO35" s="544"/>
      <c r="AP35" s="544"/>
      <c r="AQ35" s="13" t="s">
        <v>30</v>
      </c>
      <c r="AR35" s="32" t="s">
        <v>20</v>
      </c>
      <c r="AS35" s="544" t="s">
        <v>456</v>
      </c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9" t="s">
        <v>20</v>
      </c>
      <c r="BG35" s="32" t="s">
        <v>20</v>
      </c>
      <c r="BH35" s="550" t="s">
        <v>42</v>
      </c>
      <c r="BI35" s="550"/>
      <c r="BJ35" s="550"/>
      <c r="BK35" s="550"/>
      <c r="BL35" s="550"/>
      <c r="BM35" s="31"/>
    </row>
    <row r="36" spans="1:6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544"/>
      <c r="AI36" s="544"/>
      <c r="AJ36" s="544"/>
      <c r="AK36" s="544"/>
      <c r="AL36" s="544"/>
      <c r="AM36" s="544"/>
      <c r="AN36" s="544"/>
      <c r="AO36" s="544"/>
      <c r="AP36" s="544"/>
      <c r="AQ36" s="24"/>
      <c r="AR36" s="24"/>
      <c r="AS36" s="544"/>
      <c r="AT36" s="544"/>
      <c r="AU36" s="544"/>
      <c r="AV36" s="544"/>
      <c r="AW36" s="544"/>
      <c r="AX36" s="544"/>
      <c r="AY36" s="544"/>
      <c r="AZ36" s="544"/>
      <c r="BA36" s="544"/>
      <c r="BB36" s="544"/>
      <c r="BC36" s="544"/>
      <c r="BD36" s="544"/>
      <c r="BE36" s="544"/>
      <c r="BF36" s="24"/>
      <c r="BG36" s="24"/>
      <c r="BH36" s="24"/>
      <c r="BI36" s="24"/>
      <c r="BJ36" s="31"/>
      <c r="BK36" s="31"/>
      <c r="BL36" s="31"/>
      <c r="BM36" s="31"/>
    </row>
    <row r="37" spans="1:21" ht="12.75" hidden="1">
      <c r="A37" s="12"/>
      <c r="B37" s="14" t="str">
        <f>B33</f>
        <v>о</v>
      </c>
      <c r="D37" s="11" t="s">
        <v>85</v>
      </c>
      <c r="L37" s="549" t="s">
        <v>117</v>
      </c>
      <c r="M37" s="549"/>
      <c r="N37" s="549"/>
      <c r="O37" s="549"/>
      <c r="P37" s="549"/>
      <c r="Q37" s="549"/>
      <c r="R37" s="549"/>
      <c r="S37" s="549"/>
      <c r="T37" s="549"/>
      <c r="U37" s="549"/>
    </row>
    <row r="38" spans="1:63" ht="12.75" hidden="1">
      <c r="A38" s="12"/>
      <c r="B38" s="14" t="str">
        <f>R33</f>
        <v>оа</v>
      </c>
      <c r="D38" s="11" t="s">
        <v>86</v>
      </c>
      <c r="L38" s="549" t="s">
        <v>118</v>
      </c>
      <c r="M38" s="549"/>
      <c r="N38" s="549"/>
      <c r="O38" s="549"/>
      <c r="P38" s="549"/>
      <c r="Q38" s="549"/>
      <c r="R38" s="549"/>
      <c r="S38" s="549"/>
      <c r="T38" s="549"/>
      <c r="U38" s="549"/>
      <c r="BA38" s="5"/>
      <c r="BJ38" s="1"/>
      <c r="BK38" s="1"/>
    </row>
    <row r="39" spans="1:63" ht="12.75" hidden="1">
      <c r="A39" s="12"/>
      <c r="B39" s="13" t="str">
        <f>B35</f>
        <v>в</v>
      </c>
      <c r="D39" s="11" t="s">
        <v>87</v>
      </c>
      <c r="L39" s="549" t="s">
        <v>494</v>
      </c>
      <c r="M39" s="549"/>
      <c r="N39" s="549"/>
      <c r="O39" s="549"/>
      <c r="P39" s="549"/>
      <c r="Q39" s="549"/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ht="12.75" hidden="1">
      <c r="A40" s="12"/>
      <c r="B40" s="13" t="str">
        <f>R35</f>
        <v>ва</v>
      </c>
      <c r="D40" s="11"/>
      <c r="L40" s="549" t="s">
        <v>122</v>
      </c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"/>
      <c r="AF40" s="5"/>
      <c r="AH40" s="5"/>
      <c r="AI40" s="5"/>
      <c r="AJ40" s="5"/>
      <c r="AK40" s="5"/>
      <c r="AL40" s="5"/>
      <c r="AM40" s="5"/>
      <c r="AN40" s="5"/>
      <c r="AO40" s="2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53" ht="12.75" hidden="1">
      <c r="A41" s="12"/>
      <c r="B41" s="15" t="str">
        <f>AF33</f>
        <v>у</v>
      </c>
      <c r="D41" s="11" t="s">
        <v>88</v>
      </c>
      <c r="AQ41" s="5"/>
      <c r="BA41" s="5"/>
    </row>
    <row r="42" spans="1:2" ht="12.75" hidden="1">
      <c r="A42" s="12"/>
      <c r="B42" s="15" t="str">
        <f>AF35</f>
        <v>п</v>
      </c>
    </row>
    <row r="43" spans="1:2" ht="12.75" hidden="1">
      <c r="A43" s="12"/>
      <c r="B43" s="16">
        <f>AZ35</f>
        <v>0</v>
      </c>
    </row>
    <row r="44" spans="1:2" ht="12.75" hidden="1">
      <c r="A44" s="12"/>
      <c r="B44" s="17" t="str">
        <f>AQ33</f>
        <v>п</v>
      </c>
    </row>
    <row r="45" spans="1:2" ht="12.75" hidden="1">
      <c r="A45" s="12"/>
      <c r="B45" s="17">
        <f>AZ33</f>
        <v>0</v>
      </c>
    </row>
    <row r="46" spans="1:2" ht="12.75" hidden="1">
      <c r="A46" s="12"/>
      <c r="B46" s="17" t="str">
        <f>AQ35</f>
        <v>А</v>
      </c>
    </row>
    <row r="47" spans="1:2" ht="48" hidden="1">
      <c r="A47" s="12"/>
      <c r="B47" s="18" t="str">
        <f>BH35</f>
        <v>неделя отсутствует</v>
      </c>
    </row>
  </sheetData>
  <sheetProtection selectLockedCells="1" selectUnlockedCells="1"/>
  <mergeCells count="92">
    <mergeCell ref="AS33:BE33"/>
    <mergeCell ref="BH33:BJ33"/>
    <mergeCell ref="AS35:BE36"/>
    <mergeCell ref="BH35:BL35"/>
    <mergeCell ref="L38:U38"/>
    <mergeCell ref="L39:AD39"/>
    <mergeCell ref="AH35:AP36"/>
    <mergeCell ref="L40:AD40"/>
    <mergeCell ref="D35:Q35"/>
    <mergeCell ref="T35:AE35"/>
    <mergeCell ref="A9:N9"/>
    <mergeCell ref="O9:BB9"/>
    <mergeCell ref="L37:U37"/>
    <mergeCell ref="AX20:BA21"/>
    <mergeCell ref="AJ22:AJ23"/>
    <mergeCell ref="AS22:AS23"/>
    <mergeCell ref="AW22:AW23"/>
    <mergeCell ref="F22:F23"/>
    <mergeCell ref="J22:J23"/>
    <mergeCell ref="S22:S23"/>
    <mergeCell ref="AY31:BA31"/>
    <mergeCell ref="D33:Q33"/>
    <mergeCell ref="T33:AE33"/>
    <mergeCell ref="AH33:AP33"/>
    <mergeCell ref="AH31:AP31"/>
    <mergeCell ref="W22:W23"/>
    <mergeCell ref="AA22:AA23"/>
    <mergeCell ref="AF22:AF23"/>
    <mergeCell ref="BB20:BM20"/>
    <mergeCell ref="BB21:BD23"/>
    <mergeCell ref="BE21:BG23"/>
    <mergeCell ref="BH21:BH24"/>
    <mergeCell ref="BI21:BI24"/>
    <mergeCell ref="BJ21:BJ24"/>
    <mergeCell ref="BK21:BK24"/>
    <mergeCell ref="BL21:BL24"/>
    <mergeCell ref="BM21:BM24"/>
    <mergeCell ref="AJ20:AJ21"/>
    <mergeCell ref="AK20:AN21"/>
    <mergeCell ref="AO20:AR21"/>
    <mergeCell ref="AS20:AS21"/>
    <mergeCell ref="AT20:AV21"/>
    <mergeCell ref="AW20:AW21"/>
    <mergeCell ref="W20:W21"/>
    <mergeCell ref="X20:Z21"/>
    <mergeCell ref="AA20:AA21"/>
    <mergeCell ref="AB20:AE21"/>
    <mergeCell ref="AF20:AF21"/>
    <mergeCell ref="AG20:AI21"/>
    <mergeCell ref="O18:BB18"/>
    <mergeCell ref="A20:A24"/>
    <mergeCell ref="B20:E21"/>
    <mergeCell ref="F20:F21"/>
    <mergeCell ref="G20:I21"/>
    <mergeCell ref="J20:J21"/>
    <mergeCell ref="K20:N21"/>
    <mergeCell ref="O20:R21"/>
    <mergeCell ref="S20:S21"/>
    <mergeCell ref="T20:V21"/>
    <mergeCell ref="A16:N16"/>
    <mergeCell ref="O16:BB16"/>
    <mergeCell ref="A17:N17"/>
    <mergeCell ref="O17:P17"/>
    <mergeCell ref="Q17:S17"/>
    <mergeCell ref="T17:U17"/>
    <mergeCell ref="V17:Z17"/>
    <mergeCell ref="O13:BB13"/>
    <mergeCell ref="A14:N14"/>
    <mergeCell ref="O14:BB14"/>
    <mergeCell ref="BC14:BM14"/>
    <mergeCell ref="A15:N15"/>
    <mergeCell ref="O15:BB15"/>
    <mergeCell ref="BC6:BM6"/>
    <mergeCell ref="A7:BM7"/>
    <mergeCell ref="X8:AU8"/>
    <mergeCell ref="A10:N10"/>
    <mergeCell ref="O10:BB10"/>
    <mergeCell ref="BC10:BM13"/>
    <mergeCell ref="A11:N11"/>
    <mergeCell ref="O11:BB11"/>
    <mergeCell ref="A12:N12"/>
    <mergeCell ref="O12:BB12"/>
    <mergeCell ref="A4:N4"/>
    <mergeCell ref="O1:BB1"/>
    <mergeCell ref="A2:N2"/>
    <mergeCell ref="O2:BB2"/>
    <mergeCell ref="BC2:BM2"/>
    <mergeCell ref="A3:G3"/>
    <mergeCell ref="H3:N3"/>
    <mergeCell ref="O3:BB3"/>
    <mergeCell ref="BC3:BM3"/>
    <mergeCell ref="BC4:BM4"/>
  </mergeCells>
  <conditionalFormatting sqref="A37:A38">
    <cfRule type="cellIs" priority="16" dxfId="6" operator="equal" stopIfTrue="1">
      <formula>#REF!</formula>
    </cfRule>
  </conditionalFormatting>
  <conditionalFormatting sqref="A39:A40">
    <cfRule type="expression" priority="15" dxfId="89" stopIfTrue="1">
      <formula>$R$33</formula>
    </cfRule>
  </conditionalFormatting>
  <conditionalFormatting sqref="B37">
    <cfRule type="cellIs" priority="14" dxfId="6" operator="equal" stopIfTrue="1">
      <formula>$B$33</formula>
    </cfRule>
  </conditionalFormatting>
  <conditionalFormatting sqref="B38">
    <cfRule type="cellIs" priority="13" dxfId="5" operator="equal" stopIfTrue="1">
      <formula>$R$33</formula>
    </cfRule>
  </conditionalFormatting>
  <conditionalFormatting sqref="B39">
    <cfRule type="cellIs" priority="12" dxfId="90" operator="equal" stopIfTrue="1">
      <formula>$B$35</formula>
    </cfRule>
  </conditionalFormatting>
  <conditionalFormatting sqref="B40">
    <cfRule type="cellIs" priority="11" dxfId="89" operator="equal" stopIfTrue="1">
      <formula>$R$35</formula>
    </cfRule>
  </conditionalFormatting>
  <conditionalFormatting sqref="B41">
    <cfRule type="cellIs" priority="10" dxfId="6" operator="equal" stopIfTrue="1">
      <formula>$AF$33</formula>
    </cfRule>
  </conditionalFormatting>
  <conditionalFormatting sqref="B42">
    <cfRule type="cellIs" priority="9" dxfId="4" operator="equal" stopIfTrue="1">
      <formula>$AF$35</formula>
    </cfRule>
  </conditionalFormatting>
  <conditionalFormatting sqref="B43">
    <cfRule type="cellIs" priority="8" dxfId="0" operator="equal" stopIfTrue="1">
      <formula>$AZ$35</formula>
    </cfRule>
  </conditionalFormatting>
  <conditionalFormatting sqref="B44">
    <cfRule type="cellIs" priority="7" dxfId="5" operator="equal" stopIfTrue="1">
      <formula>$AQ$33</formula>
    </cfRule>
  </conditionalFormatting>
  <conditionalFormatting sqref="B45">
    <cfRule type="cellIs" priority="6" dxfId="5" operator="equal" stopIfTrue="1">
      <formula>$AZ$33</formula>
    </cfRule>
  </conditionalFormatting>
  <conditionalFormatting sqref="B46">
    <cfRule type="cellIs" priority="5" dxfId="5" operator="equal" stopIfTrue="1">
      <formula>$AQ$35</formula>
    </cfRule>
  </conditionalFormatting>
  <conditionalFormatting sqref="B47">
    <cfRule type="cellIs" priority="4" dxfId="6" operator="equal" stopIfTrue="1">
      <formula>$BH$35</formula>
    </cfRule>
  </conditionalFormatting>
  <conditionalFormatting sqref="C26:P30 B29:J29 B26:B29 Q25:R30 AA25:AR26 Y28:AG28 AD28:AG30 AH29:BA30 N25:P25 U25:Z27 S29:AC30">
    <cfRule type="expression" priority="1" dxfId="7" stopIfTrue="1">
      <formula>OR(B25=$R$33,B25=$R$35,B25=$AQ$33,B25=$AZ$33,B25=$AQ$35)</formula>
    </cfRule>
    <cfRule type="expression" priority="2" dxfId="4" stopIfTrue="1">
      <formula>OR(B25=$AF$33,B25=$AF$35)</formula>
    </cfRule>
    <cfRule type="cellIs" priority="3" dxfId="0" operator="equal" stopIfTrue="1">
      <formula>$AZ$35</formula>
    </cfRule>
  </conditionalFormatting>
  <dataValidations count="5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C26:P30 B26:B29 Q25:R30 AA25:AR26 N25:P25 S29:BA30 U25:Z27 Y28:AD28">
      <formula1>$B$37:$B$47</formula1>
    </dataValidation>
    <dataValidation type="list" allowBlank="1" showInputMessage="1" showErrorMessage="1" prompt="выберите из списка" sqref="O16:BB16">
      <formula1>$D$37:$D$41</formula1>
    </dataValidation>
    <dataValidation type="list" allowBlank="1" showInputMessage="1" showErrorMessage="1" prompt="выберите из списка" sqref="O15:BB15">
      <formula1>$L$39:$L$40</formula1>
    </dataValidation>
    <dataValidation type="list" allowBlank="1" showInputMessage="1" showErrorMessage="1" prompt="выберите из списка" sqref="U28:X28">
      <formula1>$B$36:$B$46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04"/>
  <sheetViews>
    <sheetView showZeros="0" zoomScale="70" zoomScaleNormal="70" workbookViewId="0" topLeftCell="A1">
      <pane xSplit="16" ySplit="10" topLeftCell="Q11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AU5" sqref="AU1:AU16384"/>
    </sheetView>
  </sheetViews>
  <sheetFormatPr defaultColWidth="9.33203125" defaultRowHeight="12.75"/>
  <cols>
    <col min="1" max="1" width="15.83203125" style="35" customWidth="1"/>
    <col min="2" max="2" width="46.83203125" style="35" customWidth="1"/>
    <col min="3" max="3" width="16.83203125" style="35" customWidth="1"/>
    <col min="4" max="4" width="8" style="70" customWidth="1"/>
    <col min="5" max="5" width="8.66015625" style="70" customWidth="1"/>
    <col min="6" max="8" width="7.66015625" style="70" customWidth="1"/>
    <col min="9" max="9" width="6.66015625" style="70" customWidth="1"/>
    <col min="10" max="10" width="6.66015625" style="243" hidden="1" customWidth="1"/>
    <col min="11" max="11" width="6.66015625" style="70" hidden="1" customWidth="1"/>
    <col min="12" max="12" width="8.66015625" style="71" customWidth="1"/>
    <col min="13" max="13" width="7.83203125" style="71" customWidth="1"/>
    <col min="14" max="15" width="8.33203125" style="35" customWidth="1"/>
    <col min="16" max="16" width="7.83203125" style="35" customWidth="1"/>
    <col min="17" max="17" width="7.16015625" style="35" customWidth="1"/>
    <col min="18" max="18" width="7.66015625" style="35" customWidth="1"/>
    <col min="19" max="19" width="7.66015625" style="35" hidden="1" customWidth="1"/>
    <col min="20" max="20" width="7.66015625" style="35" customWidth="1"/>
    <col min="21" max="21" width="7.16015625" style="35" customWidth="1"/>
    <col min="22" max="23" width="6.83203125" style="35" customWidth="1"/>
    <col min="24" max="24" width="7.66015625" style="35" customWidth="1"/>
    <col min="25" max="25" width="6.83203125" style="35" customWidth="1"/>
    <col min="26" max="26" width="6.83203125" style="35" hidden="1" customWidth="1"/>
    <col min="27" max="27" width="6.83203125" style="35" customWidth="1"/>
    <col min="28" max="28" width="7.83203125" style="35" customWidth="1"/>
    <col min="29" max="29" width="6.83203125" style="35" customWidth="1"/>
    <col min="30" max="30" width="7.33203125" style="35" customWidth="1"/>
    <col min="31" max="32" width="6.83203125" style="35" customWidth="1"/>
    <col min="33" max="33" width="6.83203125" style="35" hidden="1" customWidth="1"/>
    <col min="34" max="34" width="6.83203125" style="35" customWidth="1"/>
    <col min="35" max="35" width="7.16015625" style="35" customWidth="1"/>
    <col min="36" max="39" width="6.83203125" style="35" customWidth="1"/>
    <col min="40" max="40" width="6.83203125" style="35" hidden="1" customWidth="1"/>
    <col min="41" max="41" width="6.83203125" style="35" customWidth="1"/>
    <col min="42" max="42" width="7" style="35" customWidth="1"/>
    <col min="43" max="43" width="7.5" style="35" customWidth="1"/>
    <col min="44" max="45" width="6.83203125" style="35" customWidth="1"/>
    <col min="46" max="46" width="8.5" style="35" customWidth="1"/>
    <col min="47" max="47" width="8.5" style="35" hidden="1" customWidth="1"/>
    <col min="48" max="49" width="6.83203125" style="35" customWidth="1"/>
    <col min="50" max="50" width="12.83203125" style="35" hidden="1" customWidth="1"/>
    <col min="51" max="53" width="6.83203125" style="35" hidden="1" customWidth="1"/>
    <col min="54" max="55" width="8.5" style="35" hidden="1" customWidth="1"/>
    <col min="56" max="58" width="6.83203125" style="35" hidden="1" customWidth="1"/>
    <col min="59" max="59" width="13" style="39" customWidth="1"/>
    <col min="60" max="60" width="28.83203125" style="39" customWidth="1"/>
    <col min="61" max="16384" width="9.33203125" style="36" customWidth="1"/>
  </cols>
  <sheetData>
    <row r="1" spans="1:60" s="43" customFormat="1" ht="17.25" customHeight="1">
      <c r="A1" s="570" t="s">
        <v>34</v>
      </c>
      <c r="B1" s="570" t="s">
        <v>528</v>
      </c>
      <c r="C1" s="570" t="s">
        <v>61</v>
      </c>
      <c r="D1" s="654" t="s">
        <v>455</v>
      </c>
      <c r="E1" s="655"/>
      <c r="F1" s="655"/>
      <c r="G1" s="655"/>
      <c r="H1" s="655"/>
      <c r="I1" s="655"/>
      <c r="J1" s="235"/>
      <c r="K1" s="704" t="s">
        <v>414</v>
      </c>
      <c r="L1" s="622" t="s">
        <v>155</v>
      </c>
      <c r="M1" s="658"/>
      <c r="N1" s="607" t="s">
        <v>520</v>
      </c>
      <c r="O1" s="608"/>
      <c r="P1" s="608"/>
      <c r="Q1" s="608"/>
      <c r="R1" s="608"/>
      <c r="S1" s="608"/>
      <c r="T1" s="608"/>
      <c r="U1" s="609"/>
      <c r="V1" s="409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406"/>
      <c r="AY1" s="406"/>
      <c r="AZ1" s="406"/>
      <c r="BA1" s="406"/>
      <c r="BB1" s="406"/>
      <c r="BC1" s="406"/>
      <c r="BD1" s="406"/>
      <c r="BE1" s="406"/>
      <c r="BF1" s="257"/>
      <c r="BG1" s="604" t="s">
        <v>529</v>
      </c>
      <c r="BH1" s="604" t="s">
        <v>530</v>
      </c>
    </row>
    <row r="2" spans="1:60" s="43" customFormat="1" ht="13.5" customHeight="1">
      <c r="A2" s="571"/>
      <c r="B2" s="571"/>
      <c r="C2" s="571"/>
      <c r="D2" s="656"/>
      <c r="E2" s="657"/>
      <c r="F2" s="657"/>
      <c r="G2" s="657"/>
      <c r="H2" s="657"/>
      <c r="I2" s="657"/>
      <c r="J2" s="236"/>
      <c r="K2" s="705"/>
      <c r="L2" s="659"/>
      <c r="M2" s="660"/>
      <c r="N2" s="672" t="s">
        <v>522</v>
      </c>
      <c r="O2" s="589" t="s">
        <v>2</v>
      </c>
      <c r="P2" s="589"/>
      <c r="Q2" s="589"/>
      <c r="R2" s="589"/>
      <c r="S2" s="589"/>
      <c r="T2" s="589"/>
      <c r="U2" s="590"/>
      <c r="V2" s="678" t="s">
        <v>66</v>
      </c>
      <c r="W2" s="676"/>
      <c r="X2" s="676"/>
      <c r="Y2" s="676"/>
      <c r="Z2" s="676"/>
      <c r="AA2" s="676"/>
      <c r="AB2" s="677"/>
      <c r="AC2" s="679" t="s">
        <v>67</v>
      </c>
      <c r="AD2" s="680"/>
      <c r="AE2" s="680"/>
      <c r="AF2" s="680"/>
      <c r="AG2" s="680"/>
      <c r="AH2" s="680"/>
      <c r="AI2" s="681"/>
      <c r="AJ2" s="676" t="s">
        <v>68</v>
      </c>
      <c r="AK2" s="676"/>
      <c r="AL2" s="676"/>
      <c r="AM2" s="676"/>
      <c r="AN2" s="676"/>
      <c r="AO2" s="676"/>
      <c r="AP2" s="676"/>
      <c r="AQ2" s="678" t="s">
        <v>69</v>
      </c>
      <c r="AR2" s="676"/>
      <c r="AS2" s="676"/>
      <c r="AT2" s="676"/>
      <c r="AU2" s="676"/>
      <c r="AV2" s="676"/>
      <c r="AW2" s="677"/>
      <c r="AX2" s="676" t="s">
        <v>70</v>
      </c>
      <c r="AY2" s="676"/>
      <c r="AZ2" s="676"/>
      <c r="BA2" s="676"/>
      <c r="BB2" s="676"/>
      <c r="BC2" s="676"/>
      <c r="BD2" s="676"/>
      <c r="BE2" s="676"/>
      <c r="BF2" s="677"/>
      <c r="BG2" s="605"/>
      <c r="BH2" s="605"/>
    </row>
    <row r="3" spans="1:60" s="43" customFormat="1" ht="12.75" customHeight="1">
      <c r="A3" s="571"/>
      <c r="B3" s="571"/>
      <c r="C3" s="571"/>
      <c r="D3" s="567" t="s">
        <v>514</v>
      </c>
      <c r="E3" s="567" t="s">
        <v>515</v>
      </c>
      <c r="F3" s="253"/>
      <c r="G3" s="253"/>
      <c r="H3" s="567" t="s">
        <v>518</v>
      </c>
      <c r="I3" s="579" t="s">
        <v>519</v>
      </c>
      <c r="J3" s="237"/>
      <c r="K3" s="705"/>
      <c r="L3" s="659"/>
      <c r="M3" s="660"/>
      <c r="N3" s="673"/>
      <c r="O3" s="572" t="s">
        <v>72</v>
      </c>
      <c r="P3" s="590" t="s">
        <v>521</v>
      </c>
      <c r="Q3" s="726"/>
      <c r="R3" s="726"/>
      <c r="S3" s="596" t="s">
        <v>526</v>
      </c>
      <c r="T3" s="596" t="s">
        <v>513</v>
      </c>
      <c r="U3" s="674" t="s">
        <v>527</v>
      </c>
      <c r="V3" s="599"/>
      <c r="W3" s="553"/>
      <c r="X3" s="45"/>
      <c r="Y3" s="558">
        <v>30</v>
      </c>
      <c r="Z3" s="558"/>
      <c r="AA3" s="558"/>
      <c r="AB3" s="276"/>
      <c r="AC3" s="599"/>
      <c r="AD3" s="553"/>
      <c r="AE3" s="40"/>
      <c r="AF3" s="40"/>
      <c r="AG3" s="40"/>
      <c r="AH3" s="558">
        <v>30</v>
      </c>
      <c r="AI3" s="623"/>
      <c r="AJ3" s="599"/>
      <c r="AK3" s="553"/>
      <c r="AL3" s="40"/>
      <c r="AM3" s="558">
        <v>40</v>
      </c>
      <c r="AN3" s="558"/>
      <c r="AO3" s="558"/>
      <c r="AP3" s="276"/>
      <c r="AQ3" s="599"/>
      <c r="AR3" s="553"/>
      <c r="AS3" s="40"/>
      <c r="AT3" s="558">
        <v>40</v>
      </c>
      <c r="AU3" s="558"/>
      <c r="AV3" s="558"/>
      <c r="AW3" s="276"/>
      <c r="AX3" s="553"/>
      <c r="AY3" s="553"/>
      <c r="AZ3" s="553"/>
      <c r="BA3" s="40"/>
      <c r="BB3" s="558">
        <v>40</v>
      </c>
      <c r="BC3" s="558"/>
      <c r="BD3" s="558"/>
      <c r="BE3" s="558"/>
      <c r="BF3" s="46"/>
      <c r="BG3" s="605"/>
      <c r="BH3" s="605"/>
    </row>
    <row r="4" spans="1:60" s="43" customFormat="1" ht="12.75" customHeight="1">
      <c r="A4" s="571"/>
      <c r="B4" s="571"/>
      <c r="C4" s="571"/>
      <c r="D4" s="568"/>
      <c r="E4" s="568"/>
      <c r="F4" s="254"/>
      <c r="G4" s="254"/>
      <c r="H4" s="568"/>
      <c r="I4" s="580"/>
      <c r="J4" s="237"/>
      <c r="K4" s="705"/>
      <c r="L4" s="659"/>
      <c r="M4" s="660"/>
      <c r="N4" s="673"/>
      <c r="O4" s="594"/>
      <c r="P4" s="572" t="s">
        <v>523</v>
      </c>
      <c r="Q4" s="572" t="s">
        <v>524</v>
      </c>
      <c r="R4" s="675" t="s">
        <v>525</v>
      </c>
      <c r="S4" s="597"/>
      <c r="T4" s="597"/>
      <c r="U4" s="674"/>
      <c r="V4" s="600"/>
      <c r="W4" s="555"/>
      <c r="X4" s="44"/>
      <c r="Y4" s="555" t="s">
        <v>374</v>
      </c>
      <c r="Z4" s="555"/>
      <c r="AA4" s="555"/>
      <c r="AB4" s="277"/>
      <c r="AC4" s="600"/>
      <c r="AD4" s="555"/>
      <c r="AE4" s="44"/>
      <c r="AF4" s="44"/>
      <c r="AG4" s="44"/>
      <c r="AH4" s="555" t="s">
        <v>374</v>
      </c>
      <c r="AI4" s="683"/>
      <c r="AJ4" s="600"/>
      <c r="AK4" s="555"/>
      <c r="AL4" s="44"/>
      <c r="AM4" s="555" t="s">
        <v>374</v>
      </c>
      <c r="AN4" s="555"/>
      <c r="AO4" s="555"/>
      <c r="AP4" s="277"/>
      <c r="AQ4" s="600"/>
      <c r="AR4" s="555"/>
      <c r="AS4" s="44"/>
      <c r="AT4" s="555" t="s">
        <v>374</v>
      </c>
      <c r="AU4" s="555"/>
      <c r="AV4" s="555"/>
      <c r="AW4" s="277"/>
      <c r="AX4" s="555"/>
      <c r="AY4" s="555"/>
      <c r="AZ4" s="555"/>
      <c r="BA4" s="44"/>
      <c r="BB4" s="555" t="s">
        <v>374</v>
      </c>
      <c r="BC4" s="555"/>
      <c r="BD4" s="555"/>
      <c r="BE4" s="555"/>
      <c r="BF4" s="47"/>
      <c r="BG4" s="605"/>
      <c r="BH4" s="605"/>
    </row>
    <row r="5" spans="1:60" s="43" customFormat="1" ht="12.75" customHeight="1">
      <c r="A5" s="571"/>
      <c r="B5" s="571"/>
      <c r="C5" s="571"/>
      <c r="D5" s="568"/>
      <c r="E5" s="568"/>
      <c r="F5" s="254"/>
      <c r="G5" s="254"/>
      <c r="H5" s="568"/>
      <c r="I5" s="580"/>
      <c r="J5" s="237"/>
      <c r="K5" s="705"/>
      <c r="L5" s="659"/>
      <c r="M5" s="660"/>
      <c r="N5" s="673"/>
      <c r="O5" s="594"/>
      <c r="P5" s="684"/>
      <c r="Q5" s="684"/>
      <c r="R5" s="659"/>
      <c r="S5" s="597"/>
      <c r="T5" s="597"/>
      <c r="U5" s="674"/>
      <c r="V5" s="562" t="s">
        <v>102</v>
      </c>
      <c r="W5" s="557"/>
      <c r="X5" s="49"/>
      <c r="Y5" s="49"/>
      <c r="Z5" s="49"/>
      <c r="AA5" s="51">
        <f>IF((SUM(W56:AB56))=0,0,(SUM(W56:AB56))/Нормы!$G$39)</f>
        <v>0</v>
      </c>
      <c r="AB5" s="284" t="s">
        <v>103</v>
      </c>
      <c r="AC5" s="562" t="s">
        <v>102</v>
      </c>
      <c r="AD5" s="557"/>
      <c r="AE5" s="49"/>
      <c r="AF5" s="49"/>
      <c r="AG5" s="49"/>
      <c r="AH5" s="51">
        <f>IF((SUM(AD55:AI55))=0,0,(SUM(AD55:AI55))/Нормы!$G$39)</f>
        <v>4</v>
      </c>
      <c r="AI5" s="284" t="s">
        <v>103</v>
      </c>
      <c r="AJ5" s="562" t="s">
        <v>102</v>
      </c>
      <c r="AK5" s="557"/>
      <c r="AL5" s="49"/>
      <c r="AM5" s="49"/>
      <c r="AN5" s="49"/>
      <c r="AO5" s="51">
        <f>IF((SUM(AK56:AP56))=0,0,(SUM(AK56:AP56))/Нормы!$G$39)</f>
        <v>18</v>
      </c>
      <c r="AP5" s="284" t="s">
        <v>103</v>
      </c>
      <c r="AQ5" s="562" t="s">
        <v>102</v>
      </c>
      <c r="AR5" s="557"/>
      <c r="AS5" s="49"/>
      <c r="AT5" s="49"/>
      <c r="AU5" s="49"/>
      <c r="AV5" s="51">
        <f>IF((SUM(AR56:AW56))=0,0,(SUM(AR56:AW56))/Нормы!$G$39)</f>
        <v>7</v>
      </c>
      <c r="AW5" s="284" t="s">
        <v>103</v>
      </c>
      <c r="AX5" s="275"/>
      <c r="AY5" s="557" t="s">
        <v>102</v>
      </c>
      <c r="AZ5" s="557"/>
      <c r="BA5" s="49"/>
      <c r="BB5" s="49"/>
      <c r="BC5" s="49"/>
      <c r="BD5" s="50"/>
      <c r="BE5" s="51" t="e">
        <f>IF((SUM(AY55:BF55)+SUM(#REF!))=0,0,(SUM(AY55:BF55)+SUM(#REF!))/'[1]Нормы'!$G$38)</f>
        <v>#REF!</v>
      </c>
      <c r="BF5" s="54" t="s">
        <v>103</v>
      </c>
      <c r="BG5" s="605"/>
      <c r="BH5" s="605"/>
    </row>
    <row r="6" spans="1:60" s="43" customFormat="1" ht="12.75" customHeight="1">
      <c r="A6" s="571"/>
      <c r="B6" s="571"/>
      <c r="C6" s="571"/>
      <c r="D6" s="568"/>
      <c r="E6" s="568"/>
      <c r="F6" s="254"/>
      <c r="G6" s="254"/>
      <c r="H6" s="568"/>
      <c r="I6" s="580"/>
      <c r="J6" s="237"/>
      <c r="K6" s="705"/>
      <c r="L6" s="661"/>
      <c r="M6" s="662"/>
      <c r="N6" s="673"/>
      <c r="O6" s="594"/>
      <c r="P6" s="684"/>
      <c r="Q6" s="684"/>
      <c r="R6" s="659"/>
      <c r="S6" s="597"/>
      <c r="T6" s="597"/>
      <c r="U6" s="674"/>
      <c r="V6" s="682" t="s">
        <v>104</v>
      </c>
      <c r="W6" s="556"/>
      <c r="X6" s="556"/>
      <c r="Y6" s="273"/>
      <c r="Z6" s="273"/>
      <c r="AA6" s="56">
        <f>IF(SUM(W59:AB59)=0,0,SUM(W59:AB59)/Нормы!$G$38)</f>
        <v>0</v>
      </c>
      <c r="AB6" s="278" t="s">
        <v>103</v>
      </c>
      <c r="AC6" s="682" t="s">
        <v>104</v>
      </c>
      <c r="AD6" s="556"/>
      <c r="AE6" s="556"/>
      <c r="AF6" s="273"/>
      <c r="AG6" s="273"/>
      <c r="AH6" s="56">
        <f>IF(SUM(AD59:AI59)=0,0,SUM(AD59:AI59)/Нормы!$G$38)</f>
        <v>0</v>
      </c>
      <c r="AI6" s="278" t="s">
        <v>103</v>
      </c>
      <c r="AJ6" s="682" t="s">
        <v>104</v>
      </c>
      <c r="AK6" s="556"/>
      <c r="AL6" s="556"/>
      <c r="AM6" s="273"/>
      <c r="AN6" s="273"/>
      <c r="AO6" s="56">
        <f>IF(SUM(AK59:AP59)=0,0,SUM(AK59:AP59)/Нормы!$G$38)</f>
        <v>0</v>
      </c>
      <c r="AP6" s="278" t="s">
        <v>103</v>
      </c>
      <c r="AQ6" s="682" t="s">
        <v>104</v>
      </c>
      <c r="AR6" s="556"/>
      <c r="AS6" s="556"/>
      <c r="AT6" s="273"/>
      <c r="AU6" s="273"/>
      <c r="AV6" s="56">
        <f>IF(SUM(AR59:AW59)=0,0,SUM(AR59:AW59)/Нормы!$G$38)</f>
        <v>0</v>
      </c>
      <c r="AW6" s="278" t="s">
        <v>103</v>
      </c>
      <c r="AX6" s="274"/>
      <c r="AY6" s="556" t="s">
        <v>104</v>
      </c>
      <c r="AZ6" s="556"/>
      <c r="BA6" s="556"/>
      <c r="BB6" s="556"/>
      <c r="BC6" s="556"/>
      <c r="BD6" s="556"/>
      <c r="BE6" s="56">
        <f>IF(SUM(AY59:BF59)=0,0,SUM(AY59:BF59)/'[1]Нормы'!$G$38)</f>
        <v>0</v>
      </c>
      <c r="BF6" s="59" t="s">
        <v>103</v>
      </c>
      <c r="BG6" s="605"/>
      <c r="BH6" s="605"/>
    </row>
    <row r="7" spans="1:60" s="43" customFormat="1" ht="135" customHeight="1">
      <c r="A7" s="571"/>
      <c r="B7" s="571"/>
      <c r="C7" s="571"/>
      <c r="D7" s="568"/>
      <c r="E7" s="568"/>
      <c r="F7" s="254" t="s">
        <v>516</v>
      </c>
      <c r="G7" s="254" t="s">
        <v>517</v>
      </c>
      <c r="H7" s="568"/>
      <c r="I7" s="580"/>
      <c r="J7" s="238"/>
      <c r="K7" s="706"/>
      <c r="L7" s="282" t="s">
        <v>127</v>
      </c>
      <c r="M7" s="282" t="s">
        <v>177</v>
      </c>
      <c r="N7" s="574"/>
      <c r="O7" s="594"/>
      <c r="P7" s="685"/>
      <c r="Q7" s="685"/>
      <c r="R7" s="661"/>
      <c r="S7" s="598"/>
      <c r="T7" s="598"/>
      <c r="U7" s="675"/>
      <c r="V7" s="279" t="s">
        <v>94</v>
      </c>
      <c r="W7" s="280" t="s">
        <v>523</v>
      </c>
      <c r="X7" s="280" t="s">
        <v>524</v>
      </c>
      <c r="Y7" s="281" t="s">
        <v>525</v>
      </c>
      <c r="Z7" s="280" t="s">
        <v>526</v>
      </c>
      <c r="AA7" s="280" t="s">
        <v>513</v>
      </c>
      <c r="AB7" s="281" t="s">
        <v>527</v>
      </c>
      <c r="AC7" s="279" t="s">
        <v>94</v>
      </c>
      <c r="AD7" s="280" t="s">
        <v>523</v>
      </c>
      <c r="AE7" s="280" t="s">
        <v>524</v>
      </c>
      <c r="AF7" s="281" t="s">
        <v>525</v>
      </c>
      <c r="AG7" s="280" t="s">
        <v>526</v>
      </c>
      <c r="AH7" s="280" t="s">
        <v>513</v>
      </c>
      <c r="AI7" s="281" t="s">
        <v>527</v>
      </c>
      <c r="AJ7" s="279" t="s">
        <v>94</v>
      </c>
      <c r="AK7" s="280" t="s">
        <v>523</v>
      </c>
      <c r="AL7" s="280" t="s">
        <v>524</v>
      </c>
      <c r="AM7" s="281" t="s">
        <v>525</v>
      </c>
      <c r="AN7" s="280" t="s">
        <v>526</v>
      </c>
      <c r="AO7" s="280" t="s">
        <v>513</v>
      </c>
      <c r="AP7" s="281" t="s">
        <v>527</v>
      </c>
      <c r="AQ7" s="279" t="s">
        <v>94</v>
      </c>
      <c r="AR7" s="280" t="s">
        <v>523</v>
      </c>
      <c r="AS7" s="280" t="s">
        <v>524</v>
      </c>
      <c r="AT7" s="281" t="s">
        <v>525</v>
      </c>
      <c r="AU7" s="280" t="s">
        <v>526</v>
      </c>
      <c r="AV7" s="280" t="s">
        <v>513</v>
      </c>
      <c r="AW7" s="281" t="s">
        <v>527</v>
      </c>
      <c r="AX7" s="279" t="s">
        <v>94</v>
      </c>
      <c r="AY7" s="280" t="s">
        <v>523</v>
      </c>
      <c r="AZ7" s="280" t="s">
        <v>524</v>
      </c>
      <c r="BA7" s="281" t="s">
        <v>525</v>
      </c>
      <c r="BB7" s="280" t="s">
        <v>526</v>
      </c>
      <c r="BC7" s="280" t="s">
        <v>513</v>
      </c>
      <c r="BD7" s="281" t="s">
        <v>527</v>
      </c>
      <c r="BE7" s="62" t="s">
        <v>105</v>
      </c>
      <c r="BF7" s="65" t="s">
        <v>58</v>
      </c>
      <c r="BG7" s="606"/>
      <c r="BH7" s="606"/>
    </row>
    <row r="8" spans="1:60" s="43" customFormat="1" ht="12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/>
      <c r="H8" s="42">
        <v>7</v>
      </c>
      <c r="I8" s="42">
        <v>8</v>
      </c>
      <c r="J8" s="285"/>
      <c r="K8" s="42"/>
      <c r="L8" s="42">
        <v>9</v>
      </c>
      <c r="M8" s="42">
        <v>10</v>
      </c>
      <c r="N8" s="42">
        <v>11</v>
      </c>
      <c r="O8" s="42">
        <v>12</v>
      </c>
      <c r="P8" s="42">
        <v>14</v>
      </c>
      <c r="Q8" s="42">
        <v>15</v>
      </c>
      <c r="R8" s="42">
        <v>16</v>
      </c>
      <c r="S8" s="42"/>
      <c r="T8" s="42">
        <v>17</v>
      </c>
      <c r="U8" s="42">
        <v>19</v>
      </c>
      <c r="V8" s="42">
        <v>21</v>
      </c>
      <c r="W8" s="42">
        <v>23</v>
      </c>
      <c r="X8" s="42">
        <v>24</v>
      </c>
      <c r="Y8" s="42">
        <v>25</v>
      </c>
      <c r="Z8" s="42"/>
      <c r="AA8" s="42">
        <v>26</v>
      </c>
      <c r="AB8" s="42">
        <v>28</v>
      </c>
      <c r="AC8" s="42">
        <v>29</v>
      </c>
      <c r="AD8" s="42">
        <v>31</v>
      </c>
      <c r="AE8" s="42">
        <v>32</v>
      </c>
      <c r="AF8" s="42">
        <v>33</v>
      </c>
      <c r="AG8" s="42"/>
      <c r="AH8" s="42">
        <v>34</v>
      </c>
      <c r="AI8" s="42">
        <v>36</v>
      </c>
      <c r="AJ8" s="42">
        <v>37</v>
      </c>
      <c r="AK8" s="42">
        <v>39</v>
      </c>
      <c r="AL8" s="42">
        <v>40</v>
      </c>
      <c r="AM8" s="42">
        <v>41</v>
      </c>
      <c r="AN8" s="42"/>
      <c r="AO8" s="42">
        <v>42</v>
      </c>
      <c r="AP8" s="42">
        <v>44</v>
      </c>
      <c r="AQ8" s="42">
        <v>45</v>
      </c>
      <c r="AR8" s="42">
        <v>47</v>
      </c>
      <c r="AS8" s="42">
        <v>48</v>
      </c>
      <c r="AT8" s="42">
        <v>49</v>
      </c>
      <c r="AU8" s="42"/>
      <c r="AV8" s="42">
        <v>50</v>
      </c>
      <c r="AW8" s="42">
        <v>52</v>
      </c>
      <c r="AX8" s="42">
        <v>45</v>
      </c>
      <c r="AY8" s="42">
        <v>46</v>
      </c>
      <c r="AZ8" s="42">
        <v>47</v>
      </c>
      <c r="BA8" s="42">
        <v>48</v>
      </c>
      <c r="BB8" s="42">
        <v>49</v>
      </c>
      <c r="BC8" s="42"/>
      <c r="BD8" s="42">
        <v>50</v>
      </c>
      <c r="BE8" s="42">
        <v>51</v>
      </c>
      <c r="BF8" s="42">
        <v>52</v>
      </c>
      <c r="BG8" s="42">
        <v>53</v>
      </c>
      <c r="BH8" s="42">
        <v>54</v>
      </c>
    </row>
    <row r="9" spans="1:60" ht="25.5" customHeight="1">
      <c r="A9" s="261"/>
      <c r="B9" s="669" t="s">
        <v>307</v>
      </c>
      <c r="C9" s="670"/>
      <c r="D9" s="670"/>
      <c r="E9" s="670"/>
      <c r="F9" s="670"/>
      <c r="G9" s="670"/>
      <c r="H9" s="670"/>
      <c r="I9" s="671"/>
      <c r="J9" s="291"/>
      <c r="K9" s="260"/>
      <c r="L9" s="286">
        <f>'Учебный план (очная)'!L27</f>
        <v>3178</v>
      </c>
      <c r="M9" s="286">
        <f>'Учебный план (очная)'!M27</f>
        <v>2118</v>
      </c>
      <c r="N9" s="262">
        <f aca="true" t="shared" si="0" ref="N9:N17">SUM(O9+U9)</f>
        <v>3934</v>
      </c>
      <c r="O9" s="262">
        <f aca="true" t="shared" si="1" ref="O9:AJ9">SUM(O10+O15+O18)</f>
        <v>522</v>
      </c>
      <c r="P9" s="262">
        <f t="shared" si="1"/>
        <v>406</v>
      </c>
      <c r="Q9" s="262">
        <f t="shared" si="1"/>
        <v>76</v>
      </c>
      <c r="R9" s="262">
        <f t="shared" si="1"/>
        <v>40</v>
      </c>
      <c r="S9" s="262"/>
      <c r="T9" s="262">
        <f t="shared" si="1"/>
        <v>0</v>
      </c>
      <c r="U9" s="262">
        <f t="shared" si="1"/>
        <v>3412</v>
      </c>
      <c r="V9" s="262">
        <f t="shared" si="1"/>
        <v>897</v>
      </c>
      <c r="W9" s="262">
        <f t="shared" si="1"/>
        <v>130</v>
      </c>
      <c r="X9" s="262">
        <f t="shared" si="1"/>
        <v>30</v>
      </c>
      <c r="Y9" s="262">
        <f t="shared" si="1"/>
        <v>0</v>
      </c>
      <c r="Z9" s="262"/>
      <c r="AA9" s="262">
        <f t="shared" si="1"/>
        <v>0</v>
      </c>
      <c r="AB9" s="262">
        <f t="shared" si="1"/>
        <v>737</v>
      </c>
      <c r="AC9" s="262">
        <f t="shared" si="1"/>
        <v>891</v>
      </c>
      <c r="AD9" s="262">
        <f t="shared" si="1"/>
        <v>116</v>
      </c>
      <c r="AE9" s="262">
        <f t="shared" si="1"/>
        <v>16</v>
      </c>
      <c r="AF9" s="262">
        <f t="shared" si="1"/>
        <v>0</v>
      </c>
      <c r="AG9" s="262"/>
      <c r="AH9" s="262">
        <f t="shared" si="1"/>
        <v>0</v>
      </c>
      <c r="AI9" s="262">
        <f t="shared" si="1"/>
        <v>930</v>
      </c>
      <c r="AJ9" s="262">
        <f t="shared" si="1"/>
        <v>1133</v>
      </c>
      <c r="AK9" s="262">
        <f aca="true" t="shared" si="2" ref="AK9:AW9">SUM(AK10+AK15+AK18)</f>
        <v>90</v>
      </c>
      <c r="AL9" s="262">
        <f t="shared" si="2"/>
        <v>12</v>
      </c>
      <c r="AM9" s="262">
        <f t="shared" si="2"/>
        <v>0</v>
      </c>
      <c r="AN9" s="262"/>
      <c r="AO9" s="262">
        <f t="shared" si="2"/>
        <v>0</v>
      </c>
      <c r="AP9" s="262">
        <f t="shared" si="2"/>
        <v>1031</v>
      </c>
      <c r="AQ9" s="262">
        <f t="shared" si="2"/>
        <v>842</v>
      </c>
      <c r="AR9" s="262">
        <f t="shared" si="2"/>
        <v>70</v>
      </c>
      <c r="AS9" s="262">
        <f t="shared" si="2"/>
        <v>18</v>
      </c>
      <c r="AT9" s="262">
        <f t="shared" si="2"/>
        <v>40</v>
      </c>
      <c r="AU9" s="262"/>
      <c r="AV9" s="262">
        <f t="shared" si="2"/>
        <v>0</v>
      </c>
      <c r="AW9" s="262">
        <f t="shared" si="2"/>
        <v>714</v>
      </c>
      <c r="AX9" s="262">
        <f aca="true" t="shared" si="3" ref="AX9:BF9">SUM(AX10+AX15+AX18)</f>
        <v>0</v>
      </c>
      <c r="AY9" s="262">
        <f t="shared" si="3"/>
        <v>0</v>
      </c>
      <c r="AZ9" s="262">
        <f t="shared" si="3"/>
        <v>0</v>
      </c>
      <c r="BA9" s="262">
        <f t="shared" si="3"/>
        <v>0</v>
      </c>
      <c r="BB9" s="262">
        <f t="shared" si="3"/>
        <v>0</v>
      </c>
      <c r="BC9" s="262"/>
      <c r="BD9" s="262">
        <f t="shared" si="3"/>
        <v>0</v>
      </c>
      <c r="BE9" s="262">
        <f t="shared" si="3"/>
        <v>0</v>
      </c>
      <c r="BF9" s="262">
        <f t="shared" si="3"/>
        <v>0</v>
      </c>
      <c r="BG9" s="260">
        <f>'Учебный план (очная)'!CP27</f>
        <v>0</v>
      </c>
      <c r="BH9" s="260">
        <f>'Учебный план (очная)'!CQ27</f>
        <v>0</v>
      </c>
    </row>
    <row r="10" spans="1:60" s="164" customFormat="1" ht="25.5" customHeight="1">
      <c r="A10" s="263" t="s">
        <v>124</v>
      </c>
      <c r="B10" s="666" t="s">
        <v>125</v>
      </c>
      <c r="C10" s="667"/>
      <c r="D10" s="667"/>
      <c r="E10" s="667"/>
      <c r="F10" s="667"/>
      <c r="G10" s="667"/>
      <c r="H10" s="667"/>
      <c r="I10" s="668"/>
      <c r="J10" s="292"/>
      <c r="K10" s="264"/>
      <c r="L10" s="287">
        <f>'Учебный план (очная)'!N28</f>
        <v>717</v>
      </c>
      <c r="M10" s="287">
        <f>'Учебный план (очная)'!O28</f>
        <v>478</v>
      </c>
      <c r="N10" s="259">
        <f t="shared" si="0"/>
        <v>717</v>
      </c>
      <c r="O10" s="259">
        <f aca="true" t="shared" si="4" ref="O10:AJ10">SUM(O11:O14)</f>
        <v>76</v>
      </c>
      <c r="P10" s="259">
        <f t="shared" si="4"/>
        <v>30</v>
      </c>
      <c r="Q10" s="259">
        <f t="shared" si="4"/>
        <v>46</v>
      </c>
      <c r="R10" s="259">
        <f t="shared" si="4"/>
        <v>0</v>
      </c>
      <c r="S10" s="259"/>
      <c r="T10" s="259">
        <f t="shared" si="4"/>
        <v>0</v>
      </c>
      <c r="U10" s="259">
        <f t="shared" si="4"/>
        <v>641</v>
      </c>
      <c r="V10" s="259">
        <f t="shared" si="4"/>
        <v>273</v>
      </c>
      <c r="W10" s="259">
        <f t="shared" si="4"/>
        <v>30</v>
      </c>
      <c r="X10" s="259">
        <f t="shared" si="4"/>
        <v>12</v>
      </c>
      <c r="Y10" s="259">
        <f t="shared" si="4"/>
        <v>0</v>
      </c>
      <c r="Z10" s="259"/>
      <c r="AA10" s="259">
        <f t="shared" si="4"/>
        <v>0</v>
      </c>
      <c r="AB10" s="259">
        <f t="shared" si="4"/>
        <v>231</v>
      </c>
      <c r="AC10" s="259">
        <f t="shared" si="4"/>
        <v>148</v>
      </c>
      <c r="AD10" s="259">
        <f t="shared" si="4"/>
        <v>0</v>
      </c>
      <c r="AE10" s="259">
        <f t="shared" si="4"/>
        <v>12</v>
      </c>
      <c r="AF10" s="259">
        <f t="shared" si="4"/>
        <v>0</v>
      </c>
      <c r="AG10" s="259"/>
      <c r="AH10" s="259">
        <f t="shared" si="4"/>
        <v>0</v>
      </c>
      <c r="AI10" s="259">
        <f t="shared" si="4"/>
        <v>136</v>
      </c>
      <c r="AJ10" s="259">
        <f t="shared" si="4"/>
        <v>148</v>
      </c>
      <c r="AK10" s="259">
        <f aca="true" t="shared" si="5" ref="AK10:BF10">SUM(AK11:AK14)</f>
        <v>0</v>
      </c>
      <c r="AL10" s="259">
        <f t="shared" si="5"/>
        <v>12</v>
      </c>
      <c r="AM10" s="259">
        <f t="shared" si="5"/>
        <v>0</v>
      </c>
      <c r="AN10" s="259"/>
      <c r="AO10" s="259">
        <f t="shared" si="5"/>
        <v>0</v>
      </c>
      <c r="AP10" s="259">
        <f t="shared" si="5"/>
        <v>136</v>
      </c>
      <c r="AQ10" s="259">
        <f t="shared" si="5"/>
        <v>148</v>
      </c>
      <c r="AR10" s="259">
        <f t="shared" si="5"/>
        <v>0</v>
      </c>
      <c r="AS10" s="259">
        <f t="shared" si="5"/>
        <v>10</v>
      </c>
      <c r="AT10" s="259">
        <f t="shared" si="5"/>
        <v>0</v>
      </c>
      <c r="AU10" s="259"/>
      <c r="AV10" s="259">
        <f t="shared" si="5"/>
        <v>0</v>
      </c>
      <c r="AW10" s="259">
        <f t="shared" si="5"/>
        <v>138</v>
      </c>
      <c r="AX10" s="259">
        <f t="shared" si="5"/>
        <v>0</v>
      </c>
      <c r="AY10" s="259">
        <f t="shared" si="5"/>
        <v>0</v>
      </c>
      <c r="AZ10" s="259">
        <f t="shared" si="5"/>
        <v>0</v>
      </c>
      <c r="BA10" s="259">
        <f t="shared" si="5"/>
        <v>0</v>
      </c>
      <c r="BB10" s="259">
        <f t="shared" si="5"/>
        <v>0</v>
      </c>
      <c r="BC10" s="259"/>
      <c r="BD10" s="259">
        <f t="shared" si="5"/>
        <v>0</v>
      </c>
      <c r="BE10" s="259">
        <f t="shared" si="5"/>
        <v>0</v>
      </c>
      <c r="BF10" s="259">
        <f t="shared" si="5"/>
        <v>0</v>
      </c>
      <c r="BG10" s="264">
        <f>'Учебный план (очная)'!CP28</f>
        <v>0</v>
      </c>
      <c r="BH10" s="264">
        <f>'Учебный план (очная)'!CQ28</f>
        <v>0</v>
      </c>
    </row>
    <row r="11" spans="1:60" s="165" customFormat="1" ht="25.5" customHeight="1">
      <c r="A11" s="265" t="str">
        <f>'Учебный план (очная)'!A29</f>
        <v>ОГСЭ.01.</v>
      </c>
      <c r="B11" s="265" t="str">
        <f>'Учебный план (очная)'!B29</f>
        <v>Основы философии</v>
      </c>
      <c r="C11" s="198"/>
      <c r="D11" s="249"/>
      <c r="E11" s="249" t="s">
        <v>26</v>
      </c>
      <c r="F11" s="249"/>
      <c r="G11" s="249"/>
      <c r="H11" s="249"/>
      <c r="I11" s="249"/>
      <c r="J11" s="188">
        <f>L11-N11</f>
        <v>0</v>
      </c>
      <c r="K11" s="249">
        <f>M11*$K$1</f>
        <v>15.3</v>
      </c>
      <c r="L11" s="188">
        <f>'Учебный план (очная)'!N29</f>
        <v>63</v>
      </c>
      <c r="M11" s="188">
        <f>'Учебный план (очная)'!O29</f>
        <v>51</v>
      </c>
      <c r="N11" s="250">
        <f t="shared" si="0"/>
        <v>63</v>
      </c>
      <c r="O11" s="250">
        <f>SUM(P11:T11)</f>
        <v>14</v>
      </c>
      <c r="P11" s="250">
        <f aca="true" t="shared" si="6" ref="P11:R14">W11+AD11+AK11+AR11+AZ11</f>
        <v>14</v>
      </c>
      <c r="Q11" s="250">
        <f t="shared" si="6"/>
        <v>0</v>
      </c>
      <c r="R11" s="250">
        <f t="shared" si="6"/>
        <v>0</v>
      </c>
      <c r="S11" s="250"/>
      <c r="T11" s="250">
        <f>AA11+AH11+AO11+AV11+BD11</f>
        <v>0</v>
      </c>
      <c r="U11" s="250">
        <f>AB11+AI11+AP11+AW11+BF11</f>
        <v>49</v>
      </c>
      <c r="V11" s="251">
        <f aca="true" t="shared" si="7" ref="V11:V27">SUM(W11:AB11)</f>
        <v>63</v>
      </c>
      <c r="W11" s="188">
        <v>14</v>
      </c>
      <c r="X11" s="188"/>
      <c r="Y11" s="188"/>
      <c r="Z11" s="188"/>
      <c r="AA11" s="188"/>
      <c r="AB11" s="256">
        <v>49</v>
      </c>
      <c r="AC11" s="251">
        <f>SUM(AD11:AI11)</f>
        <v>0</v>
      </c>
      <c r="AD11" s="188"/>
      <c r="AE11" s="188"/>
      <c r="AF11" s="188"/>
      <c r="AG11" s="188"/>
      <c r="AH11" s="188"/>
      <c r="AI11" s="188"/>
      <c r="AJ11" s="251">
        <f aca="true" t="shared" si="8" ref="AJ11:AJ27">SUM(AK11:AP11)</f>
        <v>0</v>
      </c>
      <c r="AK11" s="188"/>
      <c r="AL11" s="188"/>
      <c r="AM11" s="188"/>
      <c r="AN11" s="188"/>
      <c r="AO11" s="188"/>
      <c r="AP11" s="188"/>
      <c r="AQ11" s="251">
        <f>SUM(AR11:AW11)</f>
        <v>0</v>
      </c>
      <c r="AR11" s="188"/>
      <c r="AS11" s="188"/>
      <c r="AT11" s="188"/>
      <c r="AU11" s="188"/>
      <c r="AV11" s="188"/>
      <c r="AW11" s="188"/>
      <c r="AX11" s="251">
        <f>SUM(AY11:BF11)</f>
        <v>0</v>
      </c>
      <c r="AY11" s="188"/>
      <c r="AZ11" s="188"/>
      <c r="BA11" s="188"/>
      <c r="BB11" s="188"/>
      <c r="BC11" s="188"/>
      <c r="BD11" s="188"/>
      <c r="BE11" s="188"/>
      <c r="BF11" s="188"/>
      <c r="BG11" s="249" t="str">
        <f>'Учебный план (очная)'!CP29</f>
        <v>64-1</v>
      </c>
      <c r="BH11" s="460" t="str">
        <f>'Учебный план (очная)'!CQ29</f>
        <v>ОК 1-9</v>
      </c>
    </row>
    <row r="12" spans="1:60" s="165" customFormat="1" ht="25.5" customHeight="1">
      <c r="A12" s="265" t="str">
        <f>'Учебный план (очная)'!A30</f>
        <v>ОГСЭ.02.</v>
      </c>
      <c r="B12" s="265" t="str">
        <f>'Учебный план (очная)'!B30</f>
        <v>История</v>
      </c>
      <c r="C12" s="198"/>
      <c r="D12" s="249" t="s">
        <v>26</v>
      </c>
      <c r="E12" s="249"/>
      <c r="F12" s="249"/>
      <c r="G12" s="249"/>
      <c r="H12" s="249"/>
      <c r="I12" s="249"/>
      <c r="J12" s="188">
        <f aca="true" t="shared" si="9" ref="J12:J17">L12-N12</f>
        <v>0</v>
      </c>
      <c r="K12" s="249">
        <f aca="true" t="shared" si="10" ref="K12:K17">M12*$K$1</f>
        <v>14.4</v>
      </c>
      <c r="L12" s="188">
        <f>'Учебный план (очная)'!N30</f>
        <v>62</v>
      </c>
      <c r="M12" s="188">
        <f>'Учебный план (очная)'!O30</f>
        <v>48</v>
      </c>
      <c r="N12" s="250">
        <f t="shared" si="0"/>
        <v>62</v>
      </c>
      <c r="O12" s="250">
        <f>SUM(P12:T12)</f>
        <v>14</v>
      </c>
      <c r="P12" s="250">
        <f t="shared" si="6"/>
        <v>14</v>
      </c>
      <c r="Q12" s="250">
        <f t="shared" si="6"/>
        <v>0</v>
      </c>
      <c r="R12" s="250">
        <f t="shared" si="6"/>
        <v>0</v>
      </c>
      <c r="S12" s="250"/>
      <c r="T12" s="250">
        <f>AA12+AH12+AO12+AV12+BD12</f>
        <v>0</v>
      </c>
      <c r="U12" s="250">
        <f>AB12+AI12+AP12+AW12+BF12</f>
        <v>48</v>
      </c>
      <c r="V12" s="251">
        <f t="shared" si="7"/>
        <v>62</v>
      </c>
      <c r="W12" s="188">
        <v>14</v>
      </c>
      <c r="X12" s="188"/>
      <c r="Y12" s="188"/>
      <c r="Z12" s="188"/>
      <c r="AA12" s="188"/>
      <c r="AB12" s="256">
        <v>48</v>
      </c>
      <c r="AC12" s="251">
        <f>SUM(AD12:AI12)</f>
        <v>0</v>
      </c>
      <c r="AD12" s="188"/>
      <c r="AE12" s="188"/>
      <c r="AF12" s="188"/>
      <c r="AG12" s="188"/>
      <c r="AH12" s="188"/>
      <c r="AI12" s="188"/>
      <c r="AJ12" s="251">
        <f t="shared" si="8"/>
        <v>0</v>
      </c>
      <c r="AK12" s="188"/>
      <c r="AL12" s="188"/>
      <c r="AM12" s="188"/>
      <c r="AN12" s="188"/>
      <c r="AO12" s="188"/>
      <c r="AP12" s="188"/>
      <c r="AQ12" s="251">
        <f>SUM(AR12:AW12)</f>
        <v>0</v>
      </c>
      <c r="AR12" s="188"/>
      <c r="AS12" s="188"/>
      <c r="AT12" s="188"/>
      <c r="AU12" s="188"/>
      <c r="AV12" s="188"/>
      <c r="AW12" s="188"/>
      <c r="AX12" s="251">
        <f>SUM(AY12:BF12)</f>
        <v>0</v>
      </c>
      <c r="AY12" s="188"/>
      <c r="AZ12" s="188"/>
      <c r="BA12" s="188"/>
      <c r="BB12" s="188"/>
      <c r="BC12" s="188"/>
      <c r="BD12" s="188"/>
      <c r="BE12" s="188"/>
      <c r="BF12" s="188"/>
      <c r="BG12" s="249" t="str">
        <f>'Учебный план (очная)'!CP30</f>
        <v>64-1</v>
      </c>
      <c r="BH12" s="460" t="str">
        <f>'Учебный план (очная)'!CQ30</f>
        <v>ОК 1-9</v>
      </c>
    </row>
    <row r="13" spans="1:60" s="165" customFormat="1" ht="25.5" customHeight="1">
      <c r="A13" s="265" t="str">
        <f>'Учебный план (очная)'!A31</f>
        <v>ОГСЭ.03.</v>
      </c>
      <c r="B13" s="265" t="str">
        <f>'Учебный план (очная)'!B31</f>
        <v>Иностранный язык</v>
      </c>
      <c r="C13" s="198"/>
      <c r="D13" s="249"/>
      <c r="E13" s="249" t="s">
        <v>38</v>
      </c>
      <c r="F13" s="249"/>
      <c r="G13" s="249"/>
      <c r="H13" s="266"/>
      <c r="I13" s="266" t="s">
        <v>556</v>
      </c>
      <c r="J13" s="188">
        <f t="shared" si="9"/>
        <v>0</v>
      </c>
      <c r="K13" s="249">
        <f t="shared" si="10"/>
        <v>63.3</v>
      </c>
      <c r="L13" s="188">
        <f>'Учебный план (очная)'!N31</f>
        <v>256</v>
      </c>
      <c r="M13" s="188">
        <f>'Учебный план (очная)'!O31</f>
        <v>211</v>
      </c>
      <c r="N13" s="250">
        <f t="shared" si="0"/>
        <v>256</v>
      </c>
      <c r="O13" s="250">
        <f>SUM(P13:T13)</f>
        <v>46</v>
      </c>
      <c r="P13" s="250">
        <f t="shared" si="6"/>
        <v>0</v>
      </c>
      <c r="Q13" s="250">
        <f t="shared" si="6"/>
        <v>46</v>
      </c>
      <c r="R13" s="250">
        <f t="shared" si="6"/>
        <v>0</v>
      </c>
      <c r="S13" s="250"/>
      <c r="T13" s="250">
        <f>AA13+AH13+AO13+AV13+BD13</f>
        <v>0</v>
      </c>
      <c r="U13" s="250">
        <f>AB13+AI13+AP13+AW13+BF13</f>
        <v>210</v>
      </c>
      <c r="V13" s="251">
        <f t="shared" si="7"/>
        <v>64</v>
      </c>
      <c r="W13" s="188"/>
      <c r="X13" s="256">
        <v>12</v>
      </c>
      <c r="Y13" s="188"/>
      <c r="Z13" s="188"/>
      <c r="AA13" s="188"/>
      <c r="AB13" s="256">
        <v>52</v>
      </c>
      <c r="AC13" s="251">
        <f>SUM(AD13:AI13)</f>
        <v>64</v>
      </c>
      <c r="AD13" s="188"/>
      <c r="AE13" s="188">
        <v>12</v>
      </c>
      <c r="AF13" s="188"/>
      <c r="AG13" s="188"/>
      <c r="AH13" s="188"/>
      <c r="AI13" s="256">
        <v>52</v>
      </c>
      <c r="AJ13" s="251">
        <f t="shared" si="8"/>
        <v>64</v>
      </c>
      <c r="AK13" s="188"/>
      <c r="AL13" s="188">
        <v>12</v>
      </c>
      <c r="AM13" s="188"/>
      <c r="AN13" s="188"/>
      <c r="AO13" s="188"/>
      <c r="AP13" s="256">
        <v>52</v>
      </c>
      <c r="AQ13" s="251">
        <f>SUM(AR13:AW13)</f>
        <v>64</v>
      </c>
      <c r="AR13" s="188"/>
      <c r="AS13" s="188">
        <v>10</v>
      </c>
      <c r="AT13" s="188"/>
      <c r="AU13" s="188"/>
      <c r="AV13" s="188"/>
      <c r="AW13" s="256">
        <v>54</v>
      </c>
      <c r="AX13" s="251">
        <f>SUM(AY13:BF13)</f>
        <v>0</v>
      </c>
      <c r="AY13" s="188"/>
      <c r="AZ13" s="188"/>
      <c r="BA13" s="188"/>
      <c r="BB13" s="188"/>
      <c r="BC13" s="188"/>
      <c r="BD13" s="188"/>
      <c r="BE13" s="188"/>
      <c r="BF13" s="188"/>
      <c r="BG13" s="249" t="str">
        <f>'Учебный план (очная)'!CP31</f>
        <v>64-1</v>
      </c>
      <c r="BH13" s="460" t="str">
        <f>'Учебный план (очная)'!CQ31</f>
        <v>ОК1-9; ПК 1.1,1.3,3.1,3.3</v>
      </c>
    </row>
    <row r="14" spans="1:60" s="165" customFormat="1" ht="25.5" customHeight="1">
      <c r="A14" s="265" t="str">
        <f>'Учебный план (очная)'!A32</f>
        <v>ОГСЭ.04.</v>
      </c>
      <c r="B14" s="265" t="str">
        <f>'Учебный план (очная)'!B32</f>
        <v>Физическая культура</v>
      </c>
      <c r="C14" s="198"/>
      <c r="D14" s="249"/>
      <c r="E14" s="249"/>
      <c r="F14" s="249" t="s">
        <v>38</v>
      </c>
      <c r="G14" s="249"/>
      <c r="H14" s="266"/>
      <c r="I14" s="266" t="s">
        <v>556</v>
      </c>
      <c r="J14" s="188">
        <f t="shared" si="9"/>
        <v>0</v>
      </c>
      <c r="K14" s="249">
        <f t="shared" si="10"/>
        <v>50.4</v>
      </c>
      <c r="L14" s="188">
        <f>'Учебный план (очная)'!N32</f>
        <v>336</v>
      </c>
      <c r="M14" s="188">
        <f>'Учебный план (очная)'!O32</f>
        <v>168</v>
      </c>
      <c r="N14" s="250">
        <f t="shared" si="0"/>
        <v>336</v>
      </c>
      <c r="O14" s="250">
        <f>SUM(P14:T14)</f>
        <v>2</v>
      </c>
      <c r="P14" s="250">
        <f t="shared" si="6"/>
        <v>2</v>
      </c>
      <c r="Q14" s="250">
        <f t="shared" si="6"/>
        <v>0</v>
      </c>
      <c r="R14" s="250">
        <f t="shared" si="6"/>
        <v>0</v>
      </c>
      <c r="S14" s="250"/>
      <c r="T14" s="250">
        <f>AA14+AH14+AO14+AV14+BD14</f>
        <v>0</v>
      </c>
      <c r="U14" s="250">
        <f>AB14+AI14+AP14+AW14+BF14</f>
        <v>334</v>
      </c>
      <c r="V14" s="251">
        <f t="shared" si="7"/>
        <v>84</v>
      </c>
      <c r="W14" s="188">
        <v>2</v>
      </c>
      <c r="X14" s="188"/>
      <c r="Y14" s="188"/>
      <c r="Z14" s="188"/>
      <c r="AA14" s="188"/>
      <c r="AB14" s="188">
        <v>82</v>
      </c>
      <c r="AC14" s="251">
        <f>SUM(AD14:AI14)</f>
        <v>84</v>
      </c>
      <c r="AD14" s="188"/>
      <c r="AE14" s="188"/>
      <c r="AF14" s="188"/>
      <c r="AG14" s="188"/>
      <c r="AH14" s="188"/>
      <c r="AI14" s="188">
        <v>84</v>
      </c>
      <c r="AJ14" s="251">
        <f t="shared" si="8"/>
        <v>84</v>
      </c>
      <c r="AK14" s="188"/>
      <c r="AL14" s="188"/>
      <c r="AM14" s="188"/>
      <c r="AN14" s="188"/>
      <c r="AO14" s="188"/>
      <c r="AP14" s="188">
        <v>84</v>
      </c>
      <c r="AQ14" s="251">
        <f>SUM(AR14:AW14)</f>
        <v>84</v>
      </c>
      <c r="AR14" s="188"/>
      <c r="AS14" s="188"/>
      <c r="AT14" s="188"/>
      <c r="AU14" s="188"/>
      <c r="AV14" s="188"/>
      <c r="AW14" s="188">
        <v>84</v>
      </c>
      <c r="AX14" s="251"/>
      <c r="AY14" s="188"/>
      <c r="AZ14" s="188"/>
      <c r="BA14" s="188"/>
      <c r="BB14" s="188"/>
      <c r="BC14" s="188"/>
      <c r="BD14" s="188"/>
      <c r="BE14" s="188"/>
      <c r="BF14" s="188"/>
      <c r="BG14" s="249" t="str">
        <f>'Учебный план (очная)'!CP32</f>
        <v>33</v>
      </c>
      <c r="BH14" s="460" t="str">
        <f>'Учебный план (очная)'!CQ32</f>
        <v>ОК 2,3,6</v>
      </c>
    </row>
    <row r="15" spans="1:60" s="164" customFormat="1" ht="25.5" customHeight="1">
      <c r="A15" s="324" t="str">
        <f>'Учебный план (очная)'!A33</f>
        <v>ЕН.00</v>
      </c>
      <c r="B15" s="666" t="s">
        <v>194</v>
      </c>
      <c r="C15" s="667"/>
      <c r="D15" s="667"/>
      <c r="E15" s="667"/>
      <c r="F15" s="667"/>
      <c r="G15" s="667"/>
      <c r="H15" s="667"/>
      <c r="I15" s="668"/>
      <c r="J15" s="296"/>
      <c r="K15" s="295"/>
      <c r="L15" s="287">
        <f>'Учебный план (очная)'!N33</f>
        <v>240</v>
      </c>
      <c r="M15" s="287">
        <f>'Учебный план (очная)'!O33</f>
        <v>160</v>
      </c>
      <c r="N15" s="293">
        <f t="shared" si="0"/>
        <v>240</v>
      </c>
      <c r="O15" s="293">
        <f aca="true" t="shared" si="11" ref="O15:U15">SUM(O16:O17)</f>
        <v>46</v>
      </c>
      <c r="P15" s="293">
        <f t="shared" si="11"/>
        <v>32</v>
      </c>
      <c r="Q15" s="293">
        <f t="shared" si="11"/>
        <v>14</v>
      </c>
      <c r="R15" s="293">
        <f t="shared" si="11"/>
        <v>0</v>
      </c>
      <c r="S15" s="293"/>
      <c r="T15" s="293">
        <f t="shared" si="11"/>
        <v>0</v>
      </c>
      <c r="U15" s="293">
        <f t="shared" si="11"/>
        <v>194</v>
      </c>
      <c r="V15" s="293">
        <f t="shared" si="7"/>
        <v>168</v>
      </c>
      <c r="W15" s="293">
        <f aca="true" t="shared" si="12" ref="W15:AI15">SUM(W16:W17)</f>
        <v>20</v>
      </c>
      <c r="X15" s="293">
        <f t="shared" si="12"/>
        <v>14</v>
      </c>
      <c r="Y15" s="293">
        <f t="shared" si="12"/>
        <v>0</v>
      </c>
      <c r="Z15" s="293"/>
      <c r="AA15" s="293">
        <f t="shared" si="12"/>
        <v>0</v>
      </c>
      <c r="AB15" s="293">
        <f t="shared" si="12"/>
        <v>134</v>
      </c>
      <c r="AC15" s="293">
        <f t="shared" si="12"/>
        <v>72</v>
      </c>
      <c r="AD15" s="293">
        <f t="shared" si="12"/>
        <v>12</v>
      </c>
      <c r="AE15" s="293">
        <f t="shared" si="12"/>
        <v>0</v>
      </c>
      <c r="AF15" s="293">
        <f t="shared" si="12"/>
        <v>0</v>
      </c>
      <c r="AG15" s="293"/>
      <c r="AH15" s="293">
        <f t="shared" si="12"/>
        <v>0</v>
      </c>
      <c r="AI15" s="293">
        <f t="shared" si="12"/>
        <v>60</v>
      </c>
      <c r="AJ15" s="293">
        <f t="shared" si="8"/>
        <v>0</v>
      </c>
      <c r="AK15" s="293">
        <f aca="true" t="shared" si="13" ref="AK15:BF15">SUM(AK16:AK17)</f>
        <v>0</v>
      </c>
      <c r="AL15" s="293">
        <f t="shared" si="13"/>
        <v>0</v>
      </c>
      <c r="AM15" s="293">
        <f t="shared" si="13"/>
        <v>0</v>
      </c>
      <c r="AN15" s="293"/>
      <c r="AO15" s="293">
        <f t="shared" si="13"/>
        <v>0</v>
      </c>
      <c r="AP15" s="293">
        <f t="shared" si="13"/>
        <v>0</v>
      </c>
      <c r="AQ15" s="293">
        <f t="shared" si="13"/>
        <v>0</v>
      </c>
      <c r="AR15" s="293">
        <f t="shared" si="13"/>
        <v>0</v>
      </c>
      <c r="AS15" s="293">
        <f t="shared" si="13"/>
        <v>0</v>
      </c>
      <c r="AT15" s="293">
        <f t="shared" si="13"/>
        <v>0</v>
      </c>
      <c r="AU15" s="293"/>
      <c r="AV15" s="293">
        <f t="shared" si="13"/>
        <v>0</v>
      </c>
      <c r="AW15" s="293">
        <f t="shared" si="13"/>
        <v>0</v>
      </c>
      <c r="AX15" s="293">
        <f t="shared" si="13"/>
        <v>0</v>
      </c>
      <c r="AY15" s="293">
        <f t="shared" si="13"/>
        <v>0</v>
      </c>
      <c r="AZ15" s="293">
        <f t="shared" si="13"/>
        <v>0</v>
      </c>
      <c r="BA15" s="293">
        <f t="shared" si="13"/>
        <v>0</v>
      </c>
      <c r="BB15" s="293">
        <f t="shared" si="13"/>
        <v>0</v>
      </c>
      <c r="BC15" s="293"/>
      <c r="BD15" s="293">
        <f t="shared" si="13"/>
        <v>0</v>
      </c>
      <c r="BE15" s="293">
        <f t="shared" si="13"/>
        <v>0</v>
      </c>
      <c r="BF15" s="293">
        <f t="shared" si="13"/>
        <v>0</v>
      </c>
      <c r="BG15" s="295">
        <f>'Учебный план (очная)'!CP33</f>
        <v>0</v>
      </c>
      <c r="BH15" s="295">
        <f>'Учебный план (очная)'!CQ33</f>
        <v>0</v>
      </c>
    </row>
    <row r="16" spans="1:60" s="165" customFormat="1" ht="25.5" customHeight="1">
      <c r="A16" s="265" t="str">
        <f>'Учебный план (очная)'!A34</f>
        <v>ЕН.01.</v>
      </c>
      <c r="B16" s="265" t="str">
        <f>'Учебный план (очная)'!B34</f>
        <v>Математика</v>
      </c>
      <c r="C16" s="198"/>
      <c r="D16" s="249" t="s">
        <v>29</v>
      </c>
      <c r="E16" s="249"/>
      <c r="F16" s="249"/>
      <c r="G16" s="249"/>
      <c r="H16" s="327"/>
      <c r="I16" s="326" t="s">
        <v>26</v>
      </c>
      <c r="J16" s="188">
        <f t="shared" si="9"/>
        <v>0</v>
      </c>
      <c r="K16" s="249">
        <f t="shared" si="10"/>
        <v>28.8</v>
      </c>
      <c r="L16" s="188">
        <f>'Учебный план (очная)'!N34</f>
        <v>144</v>
      </c>
      <c r="M16" s="188">
        <f>'Учебный план (очная)'!O34</f>
        <v>96</v>
      </c>
      <c r="N16" s="250">
        <f t="shared" si="0"/>
        <v>144</v>
      </c>
      <c r="O16" s="250">
        <f>SUM(P16:T16)</f>
        <v>28</v>
      </c>
      <c r="P16" s="250">
        <f aca="true" t="shared" si="14" ref="P16:R17">W16+AD16+AK16+AR16+AZ16</f>
        <v>28</v>
      </c>
      <c r="Q16" s="250">
        <f t="shared" si="14"/>
        <v>0</v>
      </c>
      <c r="R16" s="250">
        <f t="shared" si="14"/>
        <v>0</v>
      </c>
      <c r="S16" s="250"/>
      <c r="T16" s="250">
        <f>AA16+AH16+AO16+AV16+BD16</f>
        <v>0</v>
      </c>
      <c r="U16" s="250">
        <f>AB16+AI16+AP16+AW16+BF16</f>
        <v>116</v>
      </c>
      <c r="V16" s="251">
        <f t="shared" si="7"/>
        <v>72</v>
      </c>
      <c r="W16" s="188">
        <v>16</v>
      </c>
      <c r="X16" s="188"/>
      <c r="Y16" s="188"/>
      <c r="Z16" s="188"/>
      <c r="AA16" s="188"/>
      <c r="AB16" s="188">
        <v>56</v>
      </c>
      <c r="AC16" s="251">
        <f>SUM(AD16:AI16)</f>
        <v>72</v>
      </c>
      <c r="AD16" s="188">
        <v>12</v>
      </c>
      <c r="AE16" s="188"/>
      <c r="AF16" s="188"/>
      <c r="AG16" s="188"/>
      <c r="AH16" s="188"/>
      <c r="AI16" s="188">
        <v>60</v>
      </c>
      <c r="AJ16" s="251">
        <f t="shared" si="8"/>
        <v>0</v>
      </c>
      <c r="AK16" s="188"/>
      <c r="AL16" s="188"/>
      <c r="AM16" s="188"/>
      <c r="AN16" s="188"/>
      <c r="AO16" s="188"/>
      <c r="AP16" s="188"/>
      <c r="AQ16" s="251">
        <f>SUM(AR16:AW16)</f>
        <v>0</v>
      </c>
      <c r="AR16" s="188"/>
      <c r="AS16" s="188"/>
      <c r="AT16" s="188"/>
      <c r="AU16" s="188"/>
      <c r="AV16" s="188"/>
      <c r="AW16" s="188"/>
      <c r="AX16" s="251">
        <f>SUM(AY16:BF16)</f>
        <v>0</v>
      </c>
      <c r="AY16" s="188"/>
      <c r="AZ16" s="188"/>
      <c r="BA16" s="188"/>
      <c r="BB16" s="188"/>
      <c r="BC16" s="188"/>
      <c r="BD16" s="188"/>
      <c r="BE16" s="188"/>
      <c r="BF16" s="188"/>
      <c r="BG16" s="249" t="str">
        <f>'Учебный план (очная)'!CP34</f>
        <v>64-2</v>
      </c>
      <c r="BH16" s="460" t="str">
        <f>'Учебный план (очная)'!CQ34</f>
        <v>ОК 1-9, ПК 1.3,2.1,3.1</v>
      </c>
    </row>
    <row r="17" spans="1:60" s="165" customFormat="1" ht="25.5" customHeight="1">
      <c r="A17" s="265" t="str">
        <f>'Учебный план (очная)'!A35</f>
        <v>ЕН.02.</v>
      </c>
      <c r="B17" s="265" t="str">
        <f>'Учебный план (очная)'!B35</f>
        <v>Информатика</v>
      </c>
      <c r="C17" s="198"/>
      <c r="D17" s="249"/>
      <c r="E17" s="249" t="s">
        <v>26</v>
      </c>
      <c r="F17" s="249"/>
      <c r="G17" s="249"/>
      <c r="H17" s="249"/>
      <c r="I17" s="249"/>
      <c r="J17" s="188">
        <f t="shared" si="9"/>
        <v>0</v>
      </c>
      <c r="K17" s="249">
        <f t="shared" si="10"/>
        <v>19.2</v>
      </c>
      <c r="L17" s="188">
        <f>'Учебный план (очная)'!N35</f>
        <v>96</v>
      </c>
      <c r="M17" s="188">
        <f>'Учебный план (очная)'!O35</f>
        <v>64</v>
      </c>
      <c r="N17" s="250">
        <f t="shared" si="0"/>
        <v>96</v>
      </c>
      <c r="O17" s="250">
        <f>SUM(P17:T17)</f>
        <v>18</v>
      </c>
      <c r="P17" s="250">
        <f t="shared" si="14"/>
        <v>4</v>
      </c>
      <c r="Q17" s="250">
        <f t="shared" si="14"/>
        <v>14</v>
      </c>
      <c r="R17" s="250">
        <f t="shared" si="14"/>
        <v>0</v>
      </c>
      <c r="S17" s="250"/>
      <c r="T17" s="250">
        <f>AA17+AH17+AO17+AV17+BD17</f>
        <v>0</v>
      </c>
      <c r="U17" s="250">
        <f>AB17+AI17+AP17+AW17+BF17</f>
        <v>78</v>
      </c>
      <c r="V17" s="251">
        <f t="shared" si="7"/>
        <v>96</v>
      </c>
      <c r="W17" s="188">
        <v>4</v>
      </c>
      <c r="X17" s="188">
        <v>14</v>
      </c>
      <c r="Y17" s="188"/>
      <c r="Z17" s="188"/>
      <c r="AA17" s="188"/>
      <c r="AB17" s="188">
        <v>78</v>
      </c>
      <c r="AC17" s="251">
        <f>SUM(AD17:AI17)</f>
        <v>0</v>
      </c>
      <c r="AD17" s="188"/>
      <c r="AE17" s="188"/>
      <c r="AF17" s="188"/>
      <c r="AG17" s="188"/>
      <c r="AH17" s="188"/>
      <c r="AI17" s="188"/>
      <c r="AJ17" s="251">
        <f t="shared" si="8"/>
        <v>0</v>
      </c>
      <c r="AK17" s="188"/>
      <c r="AL17" s="188"/>
      <c r="AM17" s="188"/>
      <c r="AN17" s="188"/>
      <c r="AO17" s="188"/>
      <c r="AP17" s="188"/>
      <c r="AQ17" s="251">
        <f>SUM(AR17:AW17)</f>
        <v>0</v>
      </c>
      <c r="AR17" s="188"/>
      <c r="AS17" s="188"/>
      <c r="AT17" s="188"/>
      <c r="AU17" s="188"/>
      <c r="AV17" s="188"/>
      <c r="AW17" s="188"/>
      <c r="AX17" s="251">
        <f>SUM(AY17:BF17)</f>
        <v>0</v>
      </c>
      <c r="AY17" s="188"/>
      <c r="AZ17" s="188"/>
      <c r="BA17" s="188"/>
      <c r="BB17" s="188"/>
      <c r="BC17" s="188"/>
      <c r="BD17" s="188"/>
      <c r="BE17" s="188"/>
      <c r="BF17" s="188"/>
      <c r="BG17" s="249" t="str">
        <f>'Учебный план (очная)'!CP35</f>
        <v>64-2</v>
      </c>
      <c r="BH17" s="460" t="str">
        <f>'Учебный план (очная)'!CQ35</f>
        <v>ОК 1-9, ПК 1.1,2.1,2.3,3.1</v>
      </c>
    </row>
    <row r="18" spans="1:60" ht="25.5" customHeight="1">
      <c r="A18" s="263" t="s">
        <v>136</v>
      </c>
      <c r="B18" s="666" t="s">
        <v>62</v>
      </c>
      <c r="C18" s="667"/>
      <c r="D18" s="667"/>
      <c r="E18" s="667"/>
      <c r="F18" s="667"/>
      <c r="G18" s="667"/>
      <c r="H18" s="667"/>
      <c r="I18" s="668"/>
      <c r="J18" s="292"/>
      <c r="K18" s="264"/>
      <c r="L18" s="287">
        <f>'Учебный план (очная)'!N36</f>
        <v>2977</v>
      </c>
      <c r="M18" s="287">
        <f>'Учебный план (очная)'!O36</f>
        <v>1984</v>
      </c>
      <c r="N18" s="293">
        <f>SUM(O18+U18)</f>
        <v>2977</v>
      </c>
      <c r="O18" s="259">
        <f aca="true" t="shared" si="15" ref="O18:U18">SUM(O19+O28)</f>
        <v>400</v>
      </c>
      <c r="P18" s="259">
        <f t="shared" si="15"/>
        <v>344</v>
      </c>
      <c r="Q18" s="259">
        <f t="shared" si="15"/>
        <v>16</v>
      </c>
      <c r="R18" s="259">
        <f t="shared" si="15"/>
        <v>40</v>
      </c>
      <c r="S18" s="259"/>
      <c r="T18" s="259">
        <f t="shared" si="15"/>
        <v>0</v>
      </c>
      <c r="U18" s="259">
        <f t="shared" si="15"/>
        <v>2577</v>
      </c>
      <c r="V18" s="293">
        <f t="shared" si="7"/>
        <v>456</v>
      </c>
      <c r="W18" s="259">
        <f aca="true" t="shared" si="16" ref="W18:BF18">W19+W28</f>
        <v>80</v>
      </c>
      <c r="X18" s="259">
        <f t="shared" si="16"/>
        <v>4</v>
      </c>
      <c r="Y18" s="259">
        <f t="shared" si="16"/>
        <v>0</v>
      </c>
      <c r="Z18" s="259"/>
      <c r="AA18" s="259">
        <f t="shared" si="16"/>
        <v>0</v>
      </c>
      <c r="AB18" s="259">
        <f t="shared" si="16"/>
        <v>372</v>
      </c>
      <c r="AC18" s="259">
        <f t="shared" si="16"/>
        <v>671</v>
      </c>
      <c r="AD18" s="259">
        <f t="shared" si="16"/>
        <v>104</v>
      </c>
      <c r="AE18" s="259">
        <f t="shared" si="16"/>
        <v>4</v>
      </c>
      <c r="AF18" s="259">
        <f t="shared" si="16"/>
        <v>0</v>
      </c>
      <c r="AG18" s="259"/>
      <c r="AH18" s="259">
        <f t="shared" si="16"/>
        <v>0</v>
      </c>
      <c r="AI18" s="259">
        <f t="shared" si="16"/>
        <v>734</v>
      </c>
      <c r="AJ18" s="293">
        <f t="shared" si="8"/>
        <v>985</v>
      </c>
      <c r="AK18" s="259">
        <f t="shared" si="16"/>
        <v>90</v>
      </c>
      <c r="AL18" s="259">
        <f t="shared" si="16"/>
        <v>0</v>
      </c>
      <c r="AM18" s="259">
        <f t="shared" si="16"/>
        <v>0</v>
      </c>
      <c r="AN18" s="259"/>
      <c r="AO18" s="259">
        <f t="shared" si="16"/>
        <v>0</v>
      </c>
      <c r="AP18" s="259">
        <f t="shared" si="16"/>
        <v>895</v>
      </c>
      <c r="AQ18" s="259">
        <f t="shared" si="16"/>
        <v>694</v>
      </c>
      <c r="AR18" s="259">
        <f t="shared" si="16"/>
        <v>70</v>
      </c>
      <c r="AS18" s="259">
        <f t="shared" si="16"/>
        <v>8</v>
      </c>
      <c r="AT18" s="259">
        <f t="shared" si="16"/>
        <v>40</v>
      </c>
      <c r="AU18" s="259"/>
      <c r="AV18" s="259">
        <f t="shared" si="16"/>
        <v>0</v>
      </c>
      <c r="AW18" s="259">
        <f t="shared" si="16"/>
        <v>576</v>
      </c>
      <c r="AX18" s="259">
        <f t="shared" si="16"/>
        <v>0</v>
      </c>
      <c r="AY18" s="259">
        <f t="shared" si="16"/>
        <v>0</v>
      </c>
      <c r="AZ18" s="259">
        <f t="shared" si="16"/>
        <v>0</v>
      </c>
      <c r="BA18" s="259">
        <f t="shared" si="16"/>
        <v>0</v>
      </c>
      <c r="BB18" s="259">
        <f t="shared" si="16"/>
        <v>0</v>
      </c>
      <c r="BC18" s="259"/>
      <c r="BD18" s="259">
        <f t="shared" si="16"/>
        <v>0</v>
      </c>
      <c r="BE18" s="259">
        <f t="shared" si="16"/>
        <v>0</v>
      </c>
      <c r="BF18" s="259">
        <f t="shared" si="16"/>
        <v>0</v>
      </c>
      <c r="BG18" s="264">
        <f>'Учебный план (очная)'!CP36</f>
        <v>0</v>
      </c>
      <c r="BH18" s="264">
        <f>'Учебный план (очная)'!CQ36</f>
        <v>0</v>
      </c>
    </row>
    <row r="19" spans="1:60" s="164" customFormat="1" ht="25.5" customHeight="1">
      <c r="A19" s="93" t="s">
        <v>134</v>
      </c>
      <c r="B19" s="663" t="s">
        <v>133</v>
      </c>
      <c r="C19" s="664"/>
      <c r="D19" s="664"/>
      <c r="E19" s="664"/>
      <c r="F19" s="664"/>
      <c r="G19" s="664"/>
      <c r="H19" s="664"/>
      <c r="I19" s="665"/>
      <c r="J19" s="292"/>
      <c r="K19" s="264"/>
      <c r="L19" s="287">
        <f>'Учебный план (очная)'!N37</f>
        <v>1127</v>
      </c>
      <c r="M19" s="287">
        <f>'Учебный план (очная)'!O37</f>
        <v>751</v>
      </c>
      <c r="N19" s="293">
        <f>SUM(O19+U19)</f>
        <v>1127</v>
      </c>
      <c r="O19" s="259">
        <f aca="true" t="shared" si="17" ref="O19:AW19">SUM(O20:O27)</f>
        <v>174</v>
      </c>
      <c r="P19" s="259">
        <f t="shared" si="17"/>
        <v>166</v>
      </c>
      <c r="Q19" s="259">
        <f t="shared" si="17"/>
        <v>8</v>
      </c>
      <c r="R19" s="259">
        <f t="shared" si="17"/>
        <v>0</v>
      </c>
      <c r="S19" s="259"/>
      <c r="T19" s="259">
        <f t="shared" si="17"/>
        <v>0</v>
      </c>
      <c r="U19" s="259">
        <f t="shared" si="17"/>
        <v>953</v>
      </c>
      <c r="V19" s="293">
        <f t="shared" si="7"/>
        <v>456</v>
      </c>
      <c r="W19" s="259">
        <f t="shared" si="17"/>
        <v>80</v>
      </c>
      <c r="X19" s="259">
        <f t="shared" si="17"/>
        <v>4</v>
      </c>
      <c r="Y19" s="259">
        <f t="shared" si="17"/>
        <v>0</v>
      </c>
      <c r="Z19" s="259"/>
      <c r="AA19" s="259">
        <f t="shared" si="17"/>
        <v>0</v>
      </c>
      <c r="AB19" s="259">
        <f t="shared" si="17"/>
        <v>372</v>
      </c>
      <c r="AC19" s="259">
        <f t="shared" si="17"/>
        <v>671</v>
      </c>
      <c r="AD19" s="259">
        <f t="shared" si="17"/>
        <v>86</v>
      </c>
      <c r="AE19" s="259">
        <f t="shared" si="17"/>
        <v>4</v>
      </c>
      <c r="AF19" s="259">
        <f t="shared" si="17"/>
        <v>0</v>
      </c>
      <c r="AG19" s="259"/>
      <c r="AH19" s="259">
        <f t="shared" si="17"/>
        <v>0</v>
      </c>
      <c r="AI19" s="259">
        <f t="shared" si="17"/>
        <v>581</v>
      </c>
      <c r="AJ19" s="293">
        <f t="shared" si="8"/>
        <v>0</v>
      </c>
      <c r="AK19" s="259">
        <f t="shared" si="17"/>
        <v>0</v>
      </c>
      <c r="AL19" s="259">
        <f t="shared" si="17"/>
        <v>0</v>
      </c>
      <c r="AM19" s="259">
        <f t="shared" si="17"/>
        <v>0</v>
      </c>
      <c r="AN19" s="259"/>
      <c r="AO19" s="259">
        <f t="shared" si="17"/>
        <v>0</v>
      </c>
      <c r="AP19" s="259">
        <f t="shared" si="17"/>
        <v>0</v>
      </c>
      <c r="AQ19" s="259">
        <f t="shared" si="17"/>
        <v>0</v>
      </c>
      <c r="AR19" s="259">
        <f t="shared" si="17"/>
        <v>0</v>
      </c>
      <c r="AS19" s="259">
        <f t="shared" si="17"/>
        <v>0</v>
      </c>
      <c r="AT19" s="259">
        <f t="shared" si="17"/>
        <v>0</v>
      </c>
      <c r="AU19" s="259"/>
      <c r="AV19" s="259">
        <f t="shared" si="17"/>
        <v>0</v>
      </c>
      <c r="AW19" s="259">
        <f t="shared" si="17"/>
        <v>0</v>
      </c>
      <c r="AX19" s="259">
        <f aca="true" t="shared" si="18" ref="AX19:BF19">SUM(AX20:AX27)</f>
        <v>0</v>
      </c>
      <c r="AY19" s="259">
        <f t="shared" si="18"/>
        <v>0</v>
      </c>
      <c r="AZ19" s="259">
        <f t="shared" si="18"/>
        <v>0</v>
      </c>
      <c r="BA19" s="259">
        <f t="shared" si="18"/>
        <v>0</v>
      </c>
      <c r="BB19" s="259">
        <f t="shared" si="18"/>
        <v>0</v>
      </c>
      <c r="BC19" s="259"/>
      <c r="BD19" s="259">
        <f t="shared" si="18"/>
        <v>0</v>
      </c>
      <c r="BE19" s="259">
        <f t="shared" si="18"/>
        <v>0</v>
      </c>
      <c r="BF19" s="259">
        <f t="shared" si="18"/>
        <v>0</v>
      </c>
      <c r="BG19" s="264">
        <f>'Учебный план (очная)'!CP37</f>
        <v>0</v>
      </c>
      <c r="BH19" s="264">
        <f>'Учебный план (очная)'!CQ37</f>
        <v>0</v>
      </c>
    </row>
    <row r="20" spans="1:60" s="165" customFormat="1" ht="25.5" customHeight="1">
      <c r="A20" s="265" t="str">
        <f>'Учебный план (очная)'!A38</f>
        <v>ОП.01.</v>
      </c>
      <c r="B20" s="265" t="str">
        <f>'Учебный план (очная)'!B38</f>
        <v>Инженерная графика</v>
      </c>
      <c r="C20" s="198"/>
      <c r="D20" s="249"/>
      <c r="E20" s="327" t="s">
        <v>26</v>
      </c>
      <c r="F20" s="249"/>
      <c r="G20" s="249"/>
      <c r="H20" s="249"/>
      <c r="I20" s="249"/>
      <c r="J20" s="188">
        <f aca="true" t="shared" si="19" ref="J20:J27">L20-N20</f>
        <v>0</v>
      </c>
      <c r="K20" s="249">
        <f aca="true" t="shared" si="20" ref="K20:K27">M20*$K$1</f>
        <v>19.2</v>
      </c>
      <c r="L20" s="188">
        <f>'Учебный план (очная)'!N38</f>
        <v>96</v>
      </c>
      <c r="M20" s="188">
        <f>'Учебный план (очная)'!O38</f>
        <v>64</v>
      </c>
      <c r="N20" s="250">
        <f aca="true" t="shared" si="21" ref="N20:N27">SUM(O20+U20)</f>
        <v>96</v>
      </c>
      <c r="O20" s="250">
        <f aca="true" t="shared" si="22" ref="O20:O27">SUM(P20:T20)</f>
        <v>18</v>
      </c>
      <c r="P20" s="250">
        <f aca="true" t="shared" si="23" ref="P20:R27">W20+AD20+AK20+AR20+AZ20</f>
        <v>18</v>
      </c>
      <c r="Q20" s="250">
        <f t="shared" si="23"/>
        <v>0</v>
      </c>
      <c r="R20" s="250">
        <f t="shared" si="23"/>
        <v>0</v>
      </c>
      <c r="S20" s="250"/>
      <c r="T20" s="250">
        <f aca="true" t="shared" si="24" ref="T20:T27">AA20+AH20+AO20+AV20+BD20</f>
        <v>0</v>
      </c>
      <c r="U20" s="250">
        <f aca="true" t="shared" si="25" ref="U20:U27">AB20+AI20+AP20+AW20+BF20</f>
        <v>78</v>
      </c>
      <c r="V20" s="251">
        <f t="shared" si="7"/>
        <v>96</v>
      </c>
      <c r="W20" s="188">
        <v>18</v>
      </c>
      <c r="X20" s="188"/>
      <c r="Y20" s="188"/>
      <c r="Z20" s="188"/>
      <c r="AA20" s="188"/>
      <c r="AB20" s="188">
        <v>78</v>
      </c>
      <c r="AC20" s="251">
        <f aca="true" t="shared" si="26" ref="AC20:AC27">SUM(AD20:AI20)</f>
        <v>0</v>
      </c>
      <c r="AD20" s="188"/>
      <c r="AE20" s="188"/>
      <c r="AF20" s="188"/>
      <c r="AG20" s="188"/>
      <c r="AH20" s="188"/>
      <c r="AI20" s="188"/>
      <c r="AJ20" s="251">
        <f t="shared" si="8"/>
        <v>0</v>
      </c>
      <c r="AK20" s="188"/>
      <c r="AL20" s="188"/>
      <c r="AM20" s="188"/>
      <c r="AN20" s="188"/>
      <c r="AO20" s="188"/>
      <c r="AP20" s="188"/>
      <c r="AQ20" s="251">
        <f aca="true" t="shared" si="27" ref="AQ20:AQ27">SUM(AR20:AW20)</f>
        <v>0</v>
      </c>
      <c r="AR20" s="188"/>
      <c r="AS20" s="188"/>
      <c r="AT20" s="188"/>
      <c r="AU20" s="188"/>
      <c r="AV20" s="188"/>
      <c r="AW20" s="188"/>
      <c r="AX20" s="251">
        <f>SUM(AY20:BF20)</f>
        <v>0</v>
      </c>
      <c r="AY20" s="188"/>
      <c r="AZ20" s="188"/>
      <c r="BA20" s="188"/>
      <c r="BB20" s="188"/>
      <c r="BC20" s="188"/>
      <c r="BD20" s="188"/>
      <c r="BE20" s="188"/>
      <c r="BF20" s="188"/>
      <c r="BG20" s="249" t="str">
        <f>'Учебный план (очная)'!CP38</f>
        <v>64-6</v>
      </c>
      <c r="BH20" s="460" t="str">
        <f>'Учебный план (очная)'!CQ38</f>
        <v>ОК 1-9, ПК 2.1,3.1</v>
      </c>
    </row>
    <row r="21" spans="1:60" s="165" customFormat="1" ht="25.5" customHeight="1">
      <c r="A21" s="265" t="str">
        <f>'Учебный план (очная)'!A39</f>
        <v>ОП.02.</v>
      </c>
      <c r="B21" s="265" t="str">
        <f>'Учебный план (очная)'!B39</f>
        <v>Электротехника и электроника</v>
      </c>
      <c r="C21" s="198"/>
      <c r="D21" s="249"/>
      <c r="E21" s="249" t="s">
        <v>29</v>
      </c>
      <c r="F21" s="249"/>
      <c r="G21" s="249"/>
      <c r="H21" s="249"/>
      <c r="I21" s="326" t="s">
        <v>26</v>
      </c>
      <c r="J21" s="188">
        <f t="shared" si="19"/>
        <v>0</v>
      </c>
      <c r="K21" s="249">
        <f t="shared" si="20"/>
        <v>36.3</v>
      </c>
      <c r="L21" s="188">
        <f>'Учебный план (очная)'!N39</f>
        <v>182</v>
      </c>
      <c r="M21" s="188">
        <f>'Учебный план (очная)'!O39</f>
        <v>121</v>
      </c>
      <c r="N21" s="250">
        <f t="shared" si="21"/>
        <v>182</v>
      </c>
      <c r="O21" s="250">
        <f t="shared" si="22"/>
        <v>36</v>
      </c>
      <c r="P21" s="250">
        <f t="shared" si="23"/>
        <v>28</v>
      </c>
      <c r="Q21" s="250">
        <f t="shared" si="23"/>
        <v>8</v>
      </c>
      <c r="R21" s="250">
        <f t="shared" si="23"/>
        <v>0</v>
      </c>
      <c r="S21" s="250"/>
      <c r="T21" s="250">
        <f t="shared" si="24"/>
        <v>0</v>
      </c>
      <c r="U21" s="250">
        <f t="shared" si="25"/>
        <v>146</v>
      </c>
      <c r="V21" s="251">
        <f t="shared" si="7"/>
        <v>91</v>
      </c>
      <c r="W21" s="256">
        <v>14</v>
      </c>
      <c r="X21" s="256">
        <v>4</v>
      </c>
      <c r="Y21" s="256"/>
      <c r="Z21" s="256"/>
      <c r="AA21" s="256"/>
      <c r="AB21" s="256">
        <v>73</v>
      </c>
      <c r="AC21" s="251">
        <f t="shared" si="26"/>
        <v>91</v>
      </c>
      <c r="AD21" s="188">
        <v>14</v>
      </c>
      <c r="AE21" s="188">
        <v>4</v>
      </c>
      <c r="AF21" s="188"/>
      <c r="AG21" s="188"/>
      <c r="AH21" s="188"/>
      <c r="AI21" s="256">
        <v>73</v>
      </c>
      <c r="AJ21" s="251">
        <f t="shared" si="8"/>
        <v>0</v>
      </c>
      <c r="AK21" s="188"/>
      <c r="AL21" s="188"/>
      <c r="AM21" s="188"/>
      <c r="AN21" s="188"/>
      <c r="AO21" s="188"/>
      <c r="AP21" s="188"/>
      <c r="AQ21" s="251">
        <f t="shared" si="27"/>
        <v>0</v>
      </c>
      <c r="AR21" s="188"/>
      <c r="AS21" s="188"/>
      <c r="AT21" s="188"/>
      <c r="AU21" s="188"/>
      <c r="AV21" s="188"/>
      <c r="AW21" s="188"/>
      <c r="AX21" s="251">
        <f aca="true" t="shared" si="28" ref="AX21:AX27">SUM(AY21:BF21)</f>
        <v>0</v>
      </c>
      <c r="AY21" s="188"/>
      <c r="AZ21" s="188"/>
      <c r="BA21" s="188"/>
      <c r="BB21" s="188"/>
      <c r="BC21" s="188"/>
      <c r="BD21" s="188"/>
      <c r="BE21" s="188"/>
      <c r="BF21" s="188"/>
      <c r="BG21" s="249" t="str">
        <f>'Учебный план (очная)'!CP39</f>
        <v>64-5</v>
      </c>
      <c r="BH21" s="304" t="str">
        <f>'Учебный план (очная)'!CQ39</f>
        <v>ОК 1-9, ПК 1.1,1.2,2.2,2.3</v>
      </c>
    </row>
    <row r="22" spans="1:60" s="165" customFormat="1" ht="25.5" customHeight="1">
      <c r="A22" s="265" t="str">
        <f>'Учебный план (очная)'!A40</f>
        <v>ОП.03.</v>
      </c>
      <c r="B22" s="265" t="str">
        <f>'Учебный план (очная)'!B40</f>
        <v>Метрология, стандартизация и сертификация</v>
      </c>
      <c r="C22" s="198"/>
      <c r="D22" s="249"/>
      <c r="E22" s="249" t="s">
        <v>26</v>
      </c>
      <c r="F22" s="249"/>
      <c r="G22" s="249"/>
      <c r="H22" s="249"/>
      <c r="I22" s="249"/>
      <c r="J22" s="188">
        <f t="shared" si="19"/>
        <v>0</v>
      </c>
      <c r="K22" s="249">
        <f t="shared" si="20"/>
        <v>17.1</v>
      </c>
      <c r="L22" s="188">
        <f>'Учебный план (очная)'!N40</f>
        <v>86</v>
      </c>
      <c r="M22" s="188">
        <f>'Учебный план (очная)'!O40</f>
        <v>57</v>
      </c>
      <c r="N22" s="250">
        <f t="shared" si="21"/>
        <v>86</v>
      </c>
      <c r="O22" s="250">
        <f t="shared" si="22"/>
        <v>16</v>
      </c>
      <c r="P22" s="250">
        <f t="shared" si="23"/>
        <v>16</v>
      </c>
      <c r="Q22" s="250">
        <f t="shared" si="23"/>
        <v>0</v>
      </c>
      <c r="R22" s="250">
        <f t="shared" si="23"/>
        <v>0</v>
      </c>
      <c r="S22" s="250"/>
      <c r="T22" s="250">
        <f t="shared" si="24"/>
        <v>0</v>
      </c>
      <c r="U22" s="250">
        <f t="shared" si="25"/>
        <v>70</v>
      </c>
      <c r="V22" s="251">
        <f t="shared" si="7"/>
        <v>86</v>
      </c>
      <c r="W22" s="188">
        <v>16</v>
      </c>
      <c r="X22" s="188"/>
      <c r="Y22" s="188"/>
      <c r="Z22" s="188"/>
      <c r="AA22" s="188"/>
      <c r="AB22" s="188">
        <v>70</v>
      </c>
      <c r="AC22" s="251">
        <f t="shared" si="26"/>
        <v>0</v>
      </c>
      <c r="AD22" s="188"/>
      <c r="AE22" s="188"/>
      <c r="AF22" s="188"/>
      <c r="AG22" s="188"/>
      <c r="AH22" s="188"/>
      <c r="AI22" s="188"/>
      <c r="AJ22" s="251">
        <f t="shared" si="8"/>
        <v>0</v>
      </c>
      <c r="AK22" s="188"/>
      <c r="AL22" s="188"/>
      <c r="AM22" s="188"/>
      <c r="AN22" s="188"/>
      <c r="AO22" s="188"/>
      <c r="AP22" s="188"/>
      <c r="AQ22" s="251">
        <f t="shared" si="27"/>
        <v>0</v>
      </c>
      <c r="AR22" s="188"/>
      <c r="AS22" s="188"/>
      <c r="AT22" s="188"/>
      <c r="AU22" s="188"/>
      <c r="AV22" s="188"/>
      <c r="AW22" s="188"/>
      <c r="AX22" s="251">
        <f t="shared" si="28"/>
        <v>0</v>
      </c>
      <c r="AY22" s="188"/>
      <c r="AZ22" s="188"/>
      <c r="BA22" s="188"/>
      <c r="BB22" s="188"/>
      <c r="BC22" s="188"/>
      <c r="BD22" s="188"/>
      <c r="BE22" s="188"/>
      <c r="BF22" s="188"/>
      <c r="BG22" s="249" t="str">
        <f>'Учебный план (очная)'!CP40</f>
        <v>64-6</v>
      </c>
      <c r="BH22" s="304" t="str">
        <f>'Учебный план (очная)'!CQ40</f>
        <v>ОК 1-9, ПК 1.2, 2.1-2.3</v>
      </c>
    </row>
    <row r="23" spans="1:60" s="165" customFormat="1" ht="25.5" customHeight="1">
      <c r="A23" s="265" t="str">
        <f>'Учебный план (очная)'!A41</f>
        <v>ОП.04.</v>
      </c>
      <c r="B23" s="265" t="str">
        <f>'Учебный план (очная)'!B41</f>
        <v>Транспортная система России</v>
      </c>
      <c r="C23" s="198"/>
      <c r="D23" s="249"/>
      <c r="E23" s="249" t="s">
        <v>29</v>
      </c>
      <c r="F23" s="249"/>
      <c r="G23" s="249"/>
      <c r="H23" s="249"/>
      <c r="I23" s="326" t="s">
        <v>26</v>
      </c>
      <c r="J23" s="188">
        <f t="shared" si="19"/>
        <v>0</v>
      </c>
      <c r="K23" s="249">
        <f t="shared" si="20"/>
        <v>31.5</v>
      </c>
      <c r="L23" s="188">
        <f>'Учебный план (очная)'!N41</f>
        <v>158</v>
      </c>
      <c r="M23" s="188">
        <f>'Учебный план (очная)'!O41</f>
        <v>105</v>
      </c>
      <c r="N23" s="250">
        <f t="shared" si="21"/>
        <v>158</v>
      </c>
      <c r="O23" s="250">
        <f t="shared" si="22"/>
        <v>28</v>
      </c>
      <c r="P23" s="250">
        <f t="shared" si="23"/>
        <v>28</v>
      </c>
      <c r="Q23" s="250">
        <f t="shared" si="23"/>
        <v>0</v>
      </c>
      <c r="R23" s="250">
        <f t="shared" si="23"/>
        <v>0</v>
      </c>
      <c r="S23" s="250"/>
      <c r="T23" s="250">
        <f t="shared" si="24"/>
        <v>0</v>
      </c>
      <c r="U23" s="250">
        <f t="shared" si="25"/>
        <v>130</v>
      </c>
      <c r="V23" s="251">
        <f t="shared" si="7"/>
        <v>72</v>
      </c>
      <c r="W23" s="188">
        <v>12</v>
      </c>
      <c r="X23" s="188"/>
      <c r="Y23" s="188"/>
      <c r="Z23" s="188"/>
      <c r="AA23" s="188"/>
      <c r="AB23" s="188">
        <v>60</v>
      </c>
      <c r="AC23" s="251">
        <f t="shared" si="26"/>
        <v>86</v>
      </c>
      <c r="AD23" s="188">
        <v>16</v>
      </c>
      <c r="AE23" s="188"/>
      <c r="AF23" s="188"/>
      <c r="AG23" s="188"/>
      <c r="AH23" s="188"/>
      <c r="AI23" s="188">
        <v>70</v>
      </c>
      <c r="AJ23" s="251">
        <f t="shared" si="8"/>
        <v>0</v>
      </c>
      <c r="AK23" s="188"/>
      <c r="AL23" s="188"/>
      <c r="AM23" s="188"/>
      <c r="AN23" s="188"/>
      <c r="AO23" s="188"/>
      <c r="AP23" s="188"/>
      <c r="AQ23" s="251">
        <f t="shared" si="27"/>
        <v>0</v>
      </c>
      <c r="AR23" s="188"/>
      <c r="AS23" s="188"/>
      <c r="AT23" s="188"/>
      <c r="AU23" s="188"/>
      <c r="AV23" s="188"/>
      <c r="AW23" s="188"/>
      <c r="AX23" s="251">
        <f t="shared" si="28"/>
        <v>0</v>
      </c>
      <c r="AY23" s="188"/>
      <c r="AZ23" s="188"/>
      <c r="BA23" s="188"/>
      <c r="BB23" s="188"/>
      <c r="BC23" s="188"/>
      <c r="BD23" s="188"/>
      <c r="BE23" s="188"/>
      <c r="BF23" s="188"/>
      <c r="BG23" s="249" t="str">
        <f>'Учебный план (очная)'!CP41</f>
        <v>64-7</v>
      </c>
      <c r="BH23" s="304" t="str">
        <f>'Учебный план (очная)'!CQ41</f>
        <v>ОК 1-9, ПК 1.1-1.3,2.1-2.3</v>
      </c>
    </row>
    <row r="24" spans="1:60" s="165" customFormat="1" ht="25.5" customHeight="1">
      <c r="A24" s="265" t="str">
        <f>'Учебный план (очная)'!A42</f>
        <v>ОП.05.</v>
      </c>
      <c r="B24" s="265" t="str">
        <f>'Учебный план (очная)'!B42</f>
        <v>Технические средства (по видам транспорта)</v>
      </c>
      <c r="C24" s="198"/>
      <c r="D24" s="249"/>
      <c r="E24" s="249" t="s">
        <v>29</v>
      </c>
      <c r="F24" s="249"/>
      <c r="G24" s="249"/>
      <c r="H24" s="249"/>
      <c r="I24" s="326"/>
      <c r="J24" s="188">
        <f t="shared" si="19"/>
        <v>0</v>
      </c>
      <c r="K24" s="249">
        <f t="shared" si="20"/>
        <v>59.1</v>
      </c>
      <c r="L24" s="188">
        <f>'Учебный план (очная)'!N42</f>
        <v>297</v>
      </c>
      <c r="M24" s="188">
        <f>'Учебный план (очная)'!O42</f>
        <v>197</v>
      </c>
      <c r="N24" s="250">
        <f t="shared" si="21"/>
        <v>297</v>
      </c>
      <c r="O24" s="250">
        <f t="shared" si="22"/>
        <v>28</v>
      </c>
      <c r="P24" s="250">
        <f t="shared" si="23"/>
        <v>28</v>
      </c>
      <c r="Q24" s="250">
        <f t="shared" si="23"/>
        <v>0</v>
      </c>
      <c r="R24" s="250">
        <f t="shared" si="23"/>
        <v>0</v>
      </c>
      <c r="S24" s="250"/>
      <c r="T24" s="250">
        <f t="shared" si="24"/>
        <v>0</v>
      </c>
      <c r="U24" s="250">
        <f t="shared" si="25"/>
        <v>269</v>
      </c>
      <c r="V24" s="251">
        <f t="shared" si="7"/>
        <v>0</v>
      </c>
      <c r="W24" s="188"/>
      <c r="X24" s="188"/>
      <c r="Y24" s="188"/>
      <c r="Z24" s="188"/>
      <c r="AA24" s="188"/>
      <c r="AB24" s="188"/>
      <c r="AC24" s="251">
        <f t="shared" si="26"/>
        <v>297</v>
      </c>
      <c r="AD24" s="188">
        <v>28</v>
      </c>
      <c r="AE24" s="188"/>
      <c r="AF24" s="188"/>
      <c r="AG24" s="188"/>
      <c r="AH24" s="188"/>
      <c r="AI24" s="256">
        <v>269</v>
      </c>
      <c r="AJ24" s="251">
        <f t="shared" si="8"/>
        <v>0</v>
      </c>
      <c r="AK24" s="188"/>
      <c r="AL24" s="188"/>
      <c r="AM24" s="188"/>
      <c r="AN24" s="188"/>
      <c r="AO24" s="188"/>
      <c r="AP24" s="188"/>
      <c r="AQ24" s="251">
        <f t="shared" si="27"/>
        <v>0</v>
      </c>
      <c r="AR24" s="188"/>
      <c r="AS24" s="188"/>
      <c r="AT24" s="188"/>
      <c r="AU24" s="188"/>
      <c r="AV24" s="188"/>
      <c r="AW24" s="188"/>
      <c r="AX24" s="251">
        <f t="shared" si="28"/>
        <v>0</v>
      </c>
      <c r="AY24" s="188"/>
      <c r="AZ24" s="188"/>
      <c r="BA24" s="188"/>
      <c r="BB24" s="188"/>
      <c r="BC24" s="188"/>
      <c r="BD24" s="188"/>
      <c r="BE24" s="188"/>
      <c r="BF24" s="188"/>
      <c r="BG24" s="249" t="str">
        <f>'Учебный план (очная)'!CP42</f>
        <v>64-7</v>
      </c>
      <c r="BH24" s="304" t="str">
        <f>'Учебный план (очная)'!CQ42</f>
        <v>ОК 1-9, ПК 1.1,1.2,2.1-2.3,3.2</v>
      </c>
    </row>
    <row r="25" spans="1:60" s="165" customFormat="1" ht="25.5" customHeight="1">
      <c r="A25" s="265" t="str">
        <f>'Учебный план (очная)'!A43</f>
        <v>ОП.06.</v>
      </c>
      <c r="B25" s="265" t="str">
        <f>'Учебный план (очная)'!B43</f>
        <v>Правовое обеспечение профессиональной деятельности</v>
      </c>
      <c r="C25" s="198"/>
      <c r="D25" s="249"/>
      <c r="E25" s="326" t="s">
        <v>29</v>
      </c>
      <c r="F25" s="249"/>
      <c r="G25" s="249"/>
      <c r="H25" s="249"/>
      <c r="I25" s="326" t="s">
        <v>26</v>
      </c>
      <c r="J25" s="188">
        <f t="shared" si="19"/>
        <v>0</v>
      </c>
      <c r="K25" s="249">
        <f t="shared" si="20"/>
        <v>24.6</v>
      </c>
      <c r="L25" s="188">
        <f>'Учебный план (очная)'!N43</f>
        <v>119</v>
      </c>
      <c r="M25" s="188">
        <f>'Учебный план (очная)'!O43</f>
        <v>82</v>
      </c>
      <c r="N25" s="250">
        <f t="shared" si="21"/>
        <v>119</v>
      </c>
      <c r="O25" s="250">
        <f t="shared" si="22"/>
        <v>20</v>
      </c>
      <c r="P25" s="250">
        <f t="shared" si="23"/>
        <v>20</v>
      </c>
      <c r="Q25" s="250">
        <f t="shared" si="23"/>
        <v>0</v>
      </c>
      <c r="R25" s="250">
        <f t="shared" si="23"/>
        <v>0</v>
      </c>
      <c r="S25" s="250"/>
      <c r="T25" s="250">
        <f t="shared" si="24"/>
        <v>0</v>
      </c>
      <c r="U25" s="250">
        <f t="shared" si="25"/>
        <v>99</v>
      </c>
      <c r="V25" s="251">
        <f t="shared" si="7"/>
        <v>59</v>
      </c>
      <c r="W25" s="188">
        <v>10</v>
      </c>
      <c r="X25" s="188"/>
      <c r="Y25" s="188"/>
      <c r="Z25" s="188"/>
      <c r="AA25" s="188"/>
      <c r="AB25" s="188">
        <v>49</v>
      </c>
      <c r="AC25" s="251">
        <f t="shared" si="26"/>
        <v>60</v>
      </c>
      <c r="AD25" s="188">
        <v>10</v>
      </c>
      <c r="AE25" s="188"/>
      <c r="AF25" s="188"/>
      <c r="AG25" s="188"/>
      <c r="AH25" s="188"/>
      <c r="AI25" s="188">
        <v>50</v>
      </c>
      <c r="AJ25" s="251">
        <f t="shared" si="8"/>
        <v>0</v>
      </c>
      <c r="AK25" s="188"/>
      <c r="AL25" s="188"/>
      <c r="AM25" s="188"/>
      <c r="AN25" s="188"/>
      <c r="AO25" s="188"/>
      <c r="AP25" s="188"/>
      <c r="AQ25" s="251">
        <f t="shared" si="27"/>
        <v>0</v>
      </c>
      <c r="AR25" s="188"/>
      <c r="AS25" s="188"/>
      <c r="AT25" s="188"/>
      <c r="AU25" s="188"/>
      <c r="AV25" s="188"/>
      <c r="AW25" s="188"/>
      <c r="AX25" s="251">
        <f t="shared" si="28"/>
        <v>0</v>
      </c>
      <c r="AY25" s="188"/>
      <c r="AZ25" s="188"/>
      <c r="BA25" s="188"/>
      <c r="BB25" s="188"/>
      <c r="BC25" s="188"/>
      <c r="BD25" s="188"/>
      <c r="BE25" s="188"/>
      <c r="BF25" s="188"/>
      <c r="BG25" s="249" t="str">
        <f>'Учебный план (очная)'!CP43</f>
        <v>64-1</v>
      </c>
      <c r="BH25" s="304" t="str">
        <f>'Учебный план (очная)'!CQ43</f>
        <v>ОК 1-9; ПК 3.1-3.3</v>
      </c>
    </row>
    <row r="26" spans="1:60" s="165" customFormat="1" ht="25.5" customHeight="1">
      <c r="A26" s="265" t="str">
        <f>'Учебный план (очная)'!A44</f>
        <v>ОП.07.</v>
      </c>
      <c r="B26" s="265" t="str">
        <f>'Учебный план (очная)'!B44</f>
        <v>Охрана труда</v>
      </c>
      <c r="C26" s="198"/>
      <c r="D26" s="249"/>
      <c r="E26" s="249" t="s">
        <v>29</v>
      </c>
      <c r="F26" s="249"/>
      <c r="G26" s="249"/>
      <c r="H26" s="249"/>
      <c r="I26" s="249"/>
      <c r="J26" s="188">
        <f t="shared" si="19"/>
        <v>0</v>
      </c>
      <c r="K26" s="249">
        <f t="shared" si="20"/>
        <v>17.1</v>
      </c>
      <c r="L26" s="188">
        <f>'Учебный план (очная)'!N44</f>
        <v>86</v>
      </c>
      <c r="M26" s="188">
        <f>'Учебный план (очная)'!O44</f>
        <v>57</v>
      </c>
      <c r="N26" s="250">
        <f t="shared" si="21"/>
        <v>86</v>
      </c>
      <c r="O26" s="250">
        <f t="shared" si="22"/>
        <v>10</v>
      </c>
      <c r="P26" s="250">
        <f t="shared" si="23"/>
        <v>10</v>
      </c>
      <c r="Q26" s="250">
        <f t="shared" si="23"/>
        <v>0</v>
      </c>
      <c r="R26" s="250">
        <f t="shared" si="23"/>
        <v>0</v>
      </c>
      <c r="S26" s="250"/>
      <c r="T26" s="250">
        <f t="shared" si="24"/>
        <v>0</v>
      </c>
      <c r="U26" s="250">
        <f t="shared" si="25"/>
        <v>76</v>
      </c>
      <c r="V26" s="251">
        <f t="shared" si="7"/>
        <v>0</v>
      </c>
      <c r="W26" s="188"/>
      <c r="X26" s="188"/>
      <c r="Y26" s="188"/>
      <c r="Z26" s="188"/>
      <c r="AA26" s="188"/>
      <c r="AB26" s="188"/>
      <c r="AC26" s="251">
        <f t="shared" si="26"/>
        <v>86</v>
      </c>
      <c r="AD26" s="188">
        <v>10</v>
      </c>
      <c r="AE26" s="188"/>
      <c r="AF26" s="188"/>
      <c r="AG26" s="188"/>
      <c r="AH26" s="188"/>
      <c r="AI26" s="256">
        <v>76</v>
      </c>
      <c r="AJ26" s="251">
        <f t="shared" si="8"/>
        <v>0</v>
      </c>
      <c r="AK26" s="188"/>
      <c r="AL26" s="188"/>
      <c r="AM26" s="188"/>
      <c r="AN26" s="188"/>
      <c r="AO26" s="188"/>
      <c r="AP26" s="188"/>
      <c r="AQ26" s="251">
        <f t="shared" si="27"/>
        <v>0</v>
      </c>
      <c r="AR26" s="188"/>
      <c r="AS26" s="188"/>
      <c r="AT26" s="188"/>
      <c r="AU26" s="188"/>
      <c r="AV26" s="188"/>
      <c r="AW26" s="188"/>
      <c r="AX26" s="251">
        <f t="shared" si="28"/>
        <v>0</v>
      </c>
      <c r="AY26" s="188"/>
      <c r="AZ26" s="188"/>
      <c r="BA26" s="188"/>
      <c r="BB26" s="188"/>
      <c r="BC26" s="188"/>
      <c r="BD26" s="188"/>
      <c r="BE26" s="188"/>
      <c r="BF26" s="188"/>
      <c r="BG26" s="249" t="str">
        <f>'Учебный план (очная)'!CP44</f>
        <v>64-3</v>
      </c>
      <c r="BH26" s="304" t="str">
        <f>'Учебный план (очная)'!CQ44</f>
        <v>ОК 1-9; ПК 1.1-3.3</v>
      </c>
    </row>
    <row r="27" spans="1:63" s="165" customFormat="1" ht="25.5" customHeight="1">
      <c r="A27" s="265" t="str">
        <f>'Учебный план (очная)'!A45</f>
        <v>ОП.08.</v>
      </c>
      <c r="B27" s="265" t="str">
        <f>'Учебный план (очная)'!B45</f>
        <v>Безопасность жизнедеятельности</v>
      </c>
      <c r="C27" s="198"/>
      <c r="D27" s="249"/>
      <c r="E27" s="249" t="s">
        <v>29</v>
      </c>
      <c r="F27" s="249"/>
      <c r="G27" s="249"/>
      <c r="H27" s="249"/>
      <c r="I27" s="326" t="s">
        <v>26</v>
      </c>
      <c r="J27" s="188">
        <f t="shared" si="19"/>
        <v>0</v>
      </c>
      <c r="K27" s="249">
        <f t="shared" si="20"/>
        <v>20.4</v>
      </c>
      <c r="L27" s="188">
        <f>'Учебный план (очная)'!N45</f>
        <v>103</v>
      </c>
      <c r="M27" s="188">
        <f>'Учебный план (очная)'!O45</f>
        <v>68</v>
      </c>
      <c r="N27" s="250">
        <f t="shared" si="21"/>
        <v>103</v>
      </c>
      <c r="O27" s="250">
        <f t="shared" si="22"/>
        <v>18</v>
      </c>
      <c r="P27" s="250">
        <f t="shared" si="23"/>
        <v>18</v>
      </c>
      <c r="Q27" s="250">
        <f t="shared" si="23"/>
        <v>0</v>
      </c>
      <c r="R27" s="250">
        <f t="shared" si="23"/>
        <v>0</v>
      </c>
      <c r="S27" s="250"/>
      <c r="T27" s="250">
        <f t="shared" si="24"/>
        <v>0</v>
      </c>
      <c r="U27" s="250">
        <f t="shared" si="25"/>
        <v>85</v>
      </c>
      <c r="V27" s="251">
        <f t="shared" si="7"/>
        <v>52</v>
      </c>
      <c r="W27" s="188">
        <v>10</v>
      </c>
      <c r="X27" s="188"/>
      <c r="Y27" s="188"/>
      <c r="Z27" s="188"/>
      <c r="AA27" s="188"/>
      <c r="AB27" s="188">
        <v>42</v>
      </c>
      <c r="AC27" s="251">
        <f t="shared" si="26"/>
        <v>51</v>
      </c>
      <c r="AD27" s="188">
        <v>8</v>
      </c>
      <c r="AE27" s="188"/>
      <c r="AF27" s="188"/>
      <c r="AG27" s="188"/>
      <c r="AH27" s="188"/>
      <c r="AI27" s="256">
        <v>43</v>
      </c>
      <c r="AJ27" s="251">
        <f t="shared" si="8"/>
        <v>0</v>
      </c>
      <c r="AK27" s="188"/>
      <c r="AL27" s="188"/>
      <c r="AM27" s="188"/>
      <c r="AN27" s="188"/>
      <c r="AO27" s="188"/>
      <c r="AP27" s="188"/>
      <c r="AQ27" s="251">
        <f t="shared" si="27"/>
        <v>0</v>
      </c>
      <c r="AR27" s="188"/>
      <c r="AS27" s="188"/>
      <c r="AT27" s="188"/>
      <c r="AU27" s="188"/>
      <c r="AV27" s="188"/>
      <c r="AW27" s="188"/>
      <c r="AX27" s="251">
        <f t="shared" si="28"/>
        <v>0</v>
      </c>
      <c r="AY27" s="188"/>
      <c r="AZ27" s="188"/>
      <c r="BA27" s="188"/>
      <c r="BB27" s="188"/>
      <c r="BC27" s="188"/>
      <c r="BD27" s="188"/>
      <c r="BE27" s="188"/>
      <c r="BF27" s="188"/>
      <c r="BG27" s="249" t="str">
        <f>'Учебный план (очная)'!CP45</f>
        <v>64-6</v>
      </c>
      <c r="BH27" s="304" t="str">
        <f>'Учебный план (очная)'!CQ45</f>
        <v>ОК 1-9; ПК 1.1-3.3</v>
      </c>
      <c r="BK27" s="165" t="s">
        <v>24</v>
      </c>
    </row>
    <row r="28" spans="1:60" s="164" customFormat="1" ht="25.5" customHeight="1">
      <c r="A28" s="294" t="s">
        <v>129</v>
      </c>
      <c r="B28" s="663" t="s">
        <v>131</v>
      </c>
      <c r="C28" s="664"/>
      <c r="D28" s="664"/>
      <c r="E28" s="664"/>
      <c r="F28" s="664"/>
      <c r="G28" s="664"/>
      <c r="H28" s="664"/>
      <c r="I28" s="665"/>
      <c r="J28" s="296"/>
      <c r="K28" s="295"/>
      <c r="L28" s="287">
        <f>'Учебный план (очная)'!N46</f>
        <v>1850</v>
      </c>
      <c r="M28" s="287">
        <f>'Учебный план (очная)'!O46</f>
        <v>1233</v>
      </c>
      <c r="N28" s="293">
        <f>SUM(N29+N34+N39+N44)</f>
        <v>1850</v>
      </c>
      <c r="O28" s="293">
        <f>SUM(O29+O34+O39+O44)</f>
        <v>226</v>
      </c>
      <c r="P28" s="293">
        <f>SUM(P29+P34+P39+P44)</f>
        <v>178</v>
      </c>
      <c r="Q28" s="293">
        <f>SUM(Q29+Q34+Q39+Q44)</f>
        <v>8</v>
      </c>
      <c r="R28" s="293">
        <f>SUM(R29+R34+R39+R44)</f>
        <v>40</v>
      </c>
      <c r="S28" s="293"/>
      <c r="T28" s="293">
        <f aca="true" t="shared" si="29" ref="T28:Y28">SUM(T29+T34+T39+T44)</f>
        <v>0</v>
      </c>
      <c r="U28" s="293">
        <f t="shared" si="29"/>
        <v>1624</v>
      </c>
      <c r="V28" s="293">
        <f t="shared" si="29"/>
        <v>0</v>
      </c>
      <c r="W28" s="293">
        <f t="shared" si="29"/>
        <v>0</v>
      </c>
      <c r="X28" s="293">
        <f t="shared" si="29"/>
        <v>0</v>
      </c>
      <c r="Y28" s="293">
        <f t="shared" si="29"/>
        <v>0</v>
      </c>
      <c r="Z28" s="293"/>
      <c r="AA28" s="293">
        <f aca="true" t="shared" si="30" ref="AA28:AF28">SUM(AA29+AA34+AA39+AA44)</f>
        <v>0</v>
      </c>
      <c r="AB28" s="293">
        <f t="shared" si="30"/>
        <v>0</v>
      </c>
      <c r="AC28" s="293">
        <f t="shared" si="30"/>
        <v>0</v>
      </c>
      <c r="AD28" s="293">
        <f t="shared" si="30"/>
        <v>18</v>
      </c>
      <c r="AE28" s="293">
        <f t="shared" si="30"/>
        <v>0</v>
      </c>
      <c r="AF28" s="293">
        <f t="shared" si="30"/>
        <v>0</v>
      </c>
      <c r="AG28" s="293"/>
      <c r="AH28" s="293">
        <f aca="true" t="shared" si="31" ref="AH28:AM28">SUM(AH29+AH34+AH39+AH44)</f>
        <v>0</v>
      </c>
      <c r="AI28" s="293">
        <f t="shared" si="31"/>
        <v>153</v>
      </c>
      <c r="AJ28" s="293">
        <f t="shared" si="31"/>
        <v>985</v>
      </c>
      <c r="AK28" s="293">
        <f t="shared" si="31"/>
        <v>90</v>
      </c>
      <c r="AL28" s="293">
        <f t="shared" si="31"/>
        <v>0</v>
      </c>
      <c r="AM28" s="293">
        <f t="shared" si="31"/>
        <v>0</v>
      </c>
      <c r="AN28" s="293"/>
      <c r="AO28" s="293">
        <f aca="true" t="shared" si="32" ref="AO28:AT28">SUM(AO29+AO34+AO39+AO44)</f>
        <v>0</v>
      </c>
      <c r="AP28" s="293">
        <f t="shared" si="32"/>
        <v>895</v>
      </c>
      <c r="AQ28" s="293">
        <f t="shared" si="32"/>
        <v>694</v>
      </c>
      <c r="AR28" s="293">
        <f t="shared" si="32"/>
        <v>70</v>
      </c>
      <c r="AS28" s="293">
        <f t="shared" si="32"/>
        <v>8</v>
      </c>
      <c r="AT28" s="293">
        <f t="shared" si="32"/>
        <v>40</v>
      </c>
      <c r="AU28" s="293"/>
      <c r="AV28" s="293">
        <f aca="true" t="shared" si="33" ref="AV28:BB28">SUM(AV29+AV34+AV39+AV44)</f>
        <v>0</v>
      </c>
      <c r="AW28" s="293">
        <f t="shared" si="33"/>
        <v>576</v>
      </c>
      <c r="AX28" s="293">
        <f t="shared" si="33"/>
        <v>0</v>
      </c>
      <c r="AY28" s="293">
        <f t="shared" si="33"/>
        <v>0</v>
      </c>
      <c r="AZ28" s="293">
        <f t="shared" si="33"/>
        <v>0</v>
      </c>
      <c r="BA28" s="293">
        <f t="shared" si="33"/>
        <v>0</v>
      </c>
      <c r="BB28" s="293">
        <f t="shared" si="33"/>
        <v>0</v>
      </c>
      <c r="BC28" s="293"/>
      <c r="BD28" s="293">
        <f>SUM(BD29+BD34+BD39+BD44)</f>
        <v>0</v>
      </c>
      <c r="BE28" s="293">
        <f>SUM(BE29+BE34+BE39+BE44)</f>
        <v>0</v>
      </c>
      <c r="BF28" s="293">
        <f>SUM(BF29+BF34+BF39+BF44)</f>
        <v>0</v>
      </c>
      <c r="BG28" s="295">
        <f>'Учебный план (очная)'!CP46</f>
        <v>0</v>
      </c>
      <c r="BH28" s="295">
        <f>'Учебный план (очная)'!CQ46</f>
        <v>0</v>
      </c>
    </row>
    <row r="29" spans="1:60" s="165" customFormat="1" ht="25.5" customHeight="1">
      <c r="A29" s="267" t="s">
        <v>137</v>
      </c>
      <c r="B29" s="648" t="str">
        <f>'Учебный план (очная)'!B47</f>
        <v>Организация перевозочного процесса (по видам транспорта)</v>
      </c>
      <c r="C29" s="649"/>
      <c r="D29" s="649"/>
      <c r="E29" s="649"/>
      <c r="F29" s="649"/>
      <c r="G29" s="649"/>
      <c r="H29" s="649"/>
      <c r="I29" s="650"/>
      <c r="J29" s="320"/>
      <c r="K29" s="268"/>
      <c r="L29" s="269">
        <f>'Учебный план (очная)'!N47</f>
        <v>708</v>
      </c>
      <c r="M29" s="269">
        <f>'Учебный план (очная)'!O47</f>
        <v>472</v>
      </c>
      <c r="N29" s="270">
        <f>SUM(N30:N32)</f>
        <v>708</v>
      </c>
      <c r="O29" s="270">
        <f>SUM(O30:O32)</f>
        <v>74</v>
      </c>
      <c r="P29" s="270">
        <f>SUM(P30:P32)</f>
        <v>46</v>
      </c>
      <c r="Q29" s="270">
        <f>SUM(Q30:Q32)</f>
        <v>8</v>
      </c>
      <c r="R29" s="270">
        <f>SUM(R30:R32)</f>
        <v>20</v>
      </c>
      <c r="S29" s="270"/>
      <c r="T29" s="270">
        <f aca="true" t="shared" si="34" ref="T29:Y29">SUM(T30:T32)</f>
        <v>0</v>
      </c>
      <c r="U29" s="270">
        <f t="shared" si="34"/>
        <v>634</v>
      </c>
      <c r="V29" s="270">
        <f t="shared" si="34"/>
        <v>0</v>
      </c>
      <c r="W29" s="270">
        <f t="shared" si="34"/>
        <v>0</v>
      </c>
      <c r="X29" s="270">
        <f t="shared" si="34"/>
        <v>0</v>
      </c>
      <c r="Y29" s="270">
        <f t="shared" si="34"/>
        <v>0</v>
      </c>
      <c r="Z29" s="270"/>
      <c r="AA29" s="270">
        <f aca="true" t="shared" si="35" ref="AA29:AF29">SUM(AA30:AA32)</f>
        <v>0</v>
      </c>
      <c r="AB29" s="270">
        <f t="shared" si="35"/>
        <v>0</v>
      </c>
      <c r="AC29" s="270">
        <f t="shared" si="35"/>
        <v>0</v>
      </c>
      <c r="AD29" s="270">
        <f t="shared" si="35"/>
        <v>0</v>
      </c>
      <c r="AE29" s="270">
        <f t="shared" si="35"/>
        <v>0</v>
      </c>
      <c r="AF29" s="270">
        <f t="shared" si="35"/>
        <v>0</v>
      </c>
      <c r="AG29" s="270"/>
      <c r="AH29" s="270">
        <f aca="true" t="shared" si="36" ref="AH29:AM29">SUM(AH30:AH32)</f>
        <v>0</v>
      </c>
      <c r="AI29" s="270">
        <f t="shared" si="36"/>
        <v>0</v>
      </c>
      <c r="AJ29" s="270">
        <f t="shared" si="36"/>
        <v>514</v>
      </c>
      <c r="AK29" s="270">
        <f t="shared" si="36"/>
        <v>32</v>
      </c>
      <c r="AL29" s="270">
        <f t="shared" si="36"/>
        <v>0</v>
      </c>
      <c r="AM29" s="270">
        <f t="shared" si="36"/>
        <v>0</v>
      </c>
      <c r="AN29" s="270"/>
      <c r="AO29" s="270">
        <f aca="true" t="shared" si="37" ref="AO29:AT29">SUM(AO30:AO32)</f>
        <v>0</v>
      </c>
      <c r="AP29" s="270">
        <f t="shared" si="37"/>
        <v>482</v>
      </c>
      <c r="AQ29" s="270">
        <f t="shared" si="37"/>
        <v>194</v>
      </c>
      <c r="AR29" s="270">
        <f t="shared" si="37"/>
        <v>14</v>
      </c>
      <c r="AS29" s="270">
        <f t="shared" si="37"/>
        <v>8</v>
      </c>
      <c r="AT29" s="270">
        <f t="shared" si="37"/>
        <v>20</v>
      </c>
      <c r="AU29" s="270"/>
      <c r="AV29" s="270">
        <f aca="true" t="shared" si="38" ref="AV29:BB29">SUM(AV30:AV32)</f>
        <v>0</v>
      </c>
      <c r="AW29" s="270">
        <f t="shared" si="38"/>
        <v>152</v>
      </c>
      <c r="AX29" s="270">
        <f t="shared" si="38"/>
        <v>0</v>
      </c>
      <c r="AY29" s="270">
        <f t="shared" si="38"/>
        <v>0</v>
      </c>
      <c r="AZ29" s="270">
        <f t="shared" si="38"/>
        <v>0</v>
      </c>
      <c r="BA29" s="270">
        <f t="shared" si="38"/>
        <v>0</v>
      </c>
      <c r="BB29" s="270">
        <f t="shared" si="38"/>
        <v>0</v>
      </c>
      <c r="BC29" s="270"/>
      <c r="BD29" s="270">
        <f>SUM(BD30:BD32)</f>
        <v>0</v>
      </c>
      <c r="BE29" s="270">
        <f>SUM(BE30:BE32)</f>
        <v>0</v>
      </c>
      <c r="BF29" s="270">
        <f>SUM(BF30:BF32)</f>
        <v>0</v>
      </c>
      <c r="BG29" s="268" t="str">
        <f>'Учебный план (очная)'!CP47</f>
        <v>64-7</v>
      </c>
      <c r="BH29" s="461" t="str">
        <f>'Учебный план (очная)'!CQ47</f>
        <v>ОК 1-9, ПК 1.1-1.3</v>
      </c>
    </row>
    <row r="30" spans="1:60" s="166" customFormat="1" ht="25.5" customHeight="1">
      <c r="A30" s="265" t="str">
        <f>'Учебный план (очная)'!A48</f>
        <v>МДК.01.01.</v>
      </c>
      <c r="B30" s="265" t="str">
        <f>'Учебный план (очная)'!B48</f>
        <v>Технология перевозочного процесса (по видам транспорта)</v>
      </c>
      <c r="C30" s="198"/>
      <c r="D30" s="326" t="s">
        <v>28</v>
      </c>
      <c r="E30" s="249" t="s">
        <v>38</v>
      </c>
      <c r="F30" s="249"/>
      <c r="G30" s="249"/>
      <c r="H30" s="249" t="s">
        <v>38</v>
      </c>
      <c r="I30" s="326"/>
      <c r="J30" s="188">
        <f>L30-N30</f>
        <v>0</v>
      </c>
      <c r="K30" s="249">
        <f>M30*$K$1</f>
        <v>73.2</v>
      </c>
      <c r="L30" s="188">
        <f>'Учебный план (очная)'!N48</f>
        <v>365</v>
      </c>
      <c r="M30" s="188">
        <f>'Учебный план (очная)'!O48</f>
        <v>244</v>
      </c>
      <c r="N30" s="250">
        <f>SUM(O30+U30)</f>
        <v>365</v>
      </c>
      <c r="O30" s="250">
        <f>SUM(P30:T30)</f>
        <v>50</v>
      </c>
      <c r="P30" s="250">
        <f aca="true" t="shared" si="39" ref="P30:R32">W30+AD30+AK30+AR30+AZ30</f>
        <v>22</v>
      </c>
      <c r="Q30" s="250">
        <f t="shared" si="39"/>
        <v>8</v>
      </c>
      <c r="R30" s="250">
        <f t="shared" si="39"/>
        <v>20</v>
      </c>
      <c r="S30" s="250"/>
      <c r="T30" s="250">
        <f>AA30+AH30+AO30+AV30+BD30</f>
        <v>0</v>
      </c>
      <c r="U30" s="250">
        <f>AB30+AI30+AP30+AW30+BF30</f>
        <v>315</v>
      </c>
      <c r="V30" s="251">
        <f>SUM(W30:AB30)</f>
        <v>0</v>
      </c>
      <c r="W30" s="188"/>
      <c r="X30" s="188"/>
      <c r="Y30" s="188"/>
      <c r="Z30" s="188"/>
      <c r="AA30" s="188"/>
      <c r="AB30" s="188"/>
      <c r="AC30" s="251">
        <f>SUM(AD30:AI30)</f>
        <v>0</v>
      </c>
      <c r="AD30" s="188"/>
      <c r="AE30" s="188"/>
      <c r="AF30" s="188"/>
      <c r="AG30" s="188"/>
      <c r="AH30" s="188"/>
      <c r="AI30" s="188"/>
      <c r="AJ30" s="251">
        <f>SUM(AK30:AP30)</f>
        <v>171</v>
      </c>
      <c r="AK30" s="188">
        <v>8</v>
      </c>
      <c r="AL30" s="188"/>
      <c r="AM30" s="188"/>
      <c r="AN30" s="188"/>
      <c r="AO30" s="188"/>
      <c r="AP30" s="256">
        <v>163</v>
      </c>
      <c r="AQ30" s="251">
        <f>SUM(AR30:AW30)</f>
        <v>194</v>
      </c>
      <c r="AR30" s="188">
        <v>14</v>
      </c>
      <c r="AS30" s="188">
        <v>8</v>
      </c>
      <c r="AT30" s="188">
        <v>20</v>
      </c>
      <c r="AU30" s="188"/>
      <c r="AV30" s="188"/>
      <c r="AW30" s="256">
        <v>152</v>
      </c>
      <c r="AX30" s="251">
        <f>SUM(AY30:BF30)</f>
        <v>0</v>
      </c>
      <c r="AY30" s="188"/>
      <c r="AZ30" s="188"/>
      <c r="BA30" s="188"/>
      <c r="BB30" s="188"/>
      <c r="BC30" s="188"/>
      <c r="BD30" s="188"/>
      <c r="BE30" s="188"/>
      <c r="BF30" s="188"/>
      <c r="BG30" s="249" t="str">
        <f>'Учебный план (очная)'!CP48</f>
        <v>64-7</v>
      </c>
      <c r="BH30" s="304" t="str">
        <f>'Учебный план (очная)'!CQ48</f>
        <v>ОК 1-9, ПК 1.1-1.3</v>
      </c>
    </row>
    <row r="31" spans="1:60" s="166" customFormat="1" ht="25.5" customHeight="1">
      <c r="A31" s="265" t="str">
        <f>'Учебный план (очная)'!A49</f>
        <v>МДК.01.02.</v>
      </c>
      <c r="B31" s="265" t="str">
        <f>'Учебный план (очная)'!B49</f>
        <v>Информационное обеспечение перевозочного процесса (по видам транспорта)</v>
      </c>
      <c r="C31" s="198"/>
      <c r="D31" s="249"/>
      <c r="E31" s="249" t="s">
        <v>28</v>
      </c>
      <c r="F31" s="249"/>
      <c r="G31" s="249"/>
      <c r="H31" s="249"/>
      <c r="I31" s="249"/>
      <c r="J31" s="188">
        <f>L31-N31</f>
        <v>0</v>
      </c>
      <c r="K31" s="249">
        <f>M31*$K$1</f>
        <v>42</v>
      </c>
      <c r="L31" s="188">
        <f>'Учебный план (очная)'!N49</f>
        <v>211</v>
      </c>
      <c r="M31" s="188">
        <f>'Учебный план (очная)'!O49</f>
        <v>140</v>
      </c>
      <c r="N31" s="250">
        <f>SUM(O31+U31)</f>
        <v>211</v>
      </c>
      <c r="O31" s="250">
        <f>SUM(P31:T31)</f>
        <v>12</v>
      </c>
      <c r="P31" s="250">
        <f t="shared" si="39"/>
        <v>12</v>
      </c>
      <c r="Q31" s="250">
        <f t="shared" si="39"/>
        <v>0</v>
      </c>
      <c r="R31" s="250">
        <f t="shared" si="39"/>
        <v>0</v>
      </c>
      <c r="S31" s="250"/>
      <c r="T31" s="250">
        <f>AA31+AH31+AO31+AV31+BD31</f>
        <v>0</v>
      </c>
      <c r="U31" s="250">
        <f>AB31+AI31+AP31+AW31+BF31</f>
        <v>199</v>
      </c>
      <c r="V31" s="251">
        <f>SUM(W31:AB31)</f>
        <v>0</v>
      </c>
      <c r="W31" s="188"/>
      <c r="X31" s="188"/>
      <c r="Y31" s="188"/>
      <c r="Z31" s="188"/>
      <c r="AA31" s="188"/>
      <c r="AB31" s="188"/>
      <c r="AC31" s="251">
        <f>SUM(AD31:AI31)</f>
        <v>0</v>
      </c>
      <c r="AD31" s="188"/>
      <c r="AE31" s="188"/>
      <c r="AF31" s="188"/>
      <c r="AG31" s="188"/>
      <c r="AH31" s="188"/>
      <c r="AI31" s="188"/>
      <c r="AJ31" s="251">
        <f>SUM(AK31:AP31)</f>
        <v>211</v>
      </c>
      <c r="AK31" s="188">
        <v>12</v>
      </c>
      <c r="AL31" s="188"/>
      <c r="AM31" s="188"/>
      <c r="AN31" s="188"/>
      <c r="AO31" s="188"/>
      <c r="AP31" s="188">
        <v>199</v>
      </c>
      <c r="AQ31" s="251">
        <f>SUM(AR31:AW31)</f>
        <v>0</v>
      </c>
      <c r="AR31" s="188"/>
      <c r="AS31" s="188"/>
      <c r="AT31" s="188"/>
      <c r="AU31" s="188"/>
      <c r="AV31" s="188"/>
      <c r="AW31" s="188"/>
      <c r="AX31" s="251">
        <f>SUM(AY31:BF31)</f>
        <v>0</v>
      </c>
      <c r="AY31" s="188"/>
      <c r="AZ31" s="188"/>
      <c r="BA31" s="188"/>
      <c r="BB31" s="188"/>
      <c r="BC31" s="188"/>
      <c r="BD31" s="188"/>
      <c r="BE31" s="188"/>
      <c r="BF31" s="188"/>
      <c r="BG31" s="249" t="str">
        <f>'Учебный план (очная)'!CP49</f>
        <v>64-7</v>
      </c>
      <c r="BH31" s="304" t="str">
        <f>'Учебный план (очная)'!CQ49</f>
        <v>ОК 1-9, ПК 1.1-1.3</v>
      </c>
    </row>
    <row r="32" spans="1:60" s="166" customFormat="1" ht="25.5" customHeight="1">
      <c r="A32" s="265" t="str">
        <f>'Учебный план (очная)'!A50</f>
        <v>МДК.01.03.</v>
      </c>
      <c r="B32" s="265" t="str">
        <f>'Учебный план (очная)'!B50</f>
        <v>Автоматизированные системы управления на транспорте (по видам транспорта)</v>
      </c>
      <c r="C32" s="198"/>
      <c r="D32" s="249"/>
      <c r="E32" s="249" t="s">
        <v>28</v>
      </c>
      <c r="F32" s="249"/>
      <c r="G32" s="249"/>
      <c r="H32" s="249"/>
      <c r="I32" s="249"/>
      <c r="J32" s="188">
        <f>L32-N32</f>
        <v>0</v>
      </c>
      <c r="K32" s="249">
        <f>M32*$K$1</f>
        <v>26.4</v>
      </c>
      <c r="L32" s="188">
        <f>'Учебный план (очная)'!N50</f>
        <v>132</v>
      </c>
      <c r="M32" s="188">
        <f>'Учебный план (очная)'!O50</f>
        <v>88</v>
      </c>
      <c r="N32" s="250">
        <f>SUM(O32+U32)</f>
        <v>132</v>
      </c>
      <c r="O32" s="250">
        <f>SUM(P32:T32)</f>
        <v>12</v>
      </c>
      <c r="P32" s="250">
        <f t="shared" si="39"/>
        <v>12</v>
      </c>
      <c r="Q32" s="250">
        <f t="shared" si="39"/>
        <v>0</v>
      </c>
      <c r="R32" s="250">
        <f t="shared" si="39"/>
        <v>0</v>
      </c>
      <c r="S32" s="250"/>
      <c r="T32" s="250">
        <f>AA32+AH32+AO32+AV32+BD32</f>
        <v>0</v>
      </c>
      <c r="U32" s="250">
        <f>AB32+AI32+AP32+AW32+BF32</f>
        <v>120</v>
      </c>
      <c r="V32" s="251">
        <f>SUM(W32:AB32)</f>
        <v>0</v>
      </c>
      <c r="W32" s="188"/>
      <c r="X32" s="188"/>
      <c r="Y32" s="188"/>
      <c r="Z32" s="188"/>
      <c r="AA32" s="188"/>
      <c r="AB32" s="188"/>
      <c r="AC32" s="251">
        <f>SUM(AD32:AI32)</f>
        <v>0</v>
      </c>
      <c r="AD32" s="188"/>
      <c r="AE32" s="188"/>
      <c r="AF32" s="188"/>
      <c r="AG32" s="188"/>
      <c r="AH32" s="188"/>
      <c r="AI32" s="188"/>
      <c r="AJ32" s="251">
        <f>SUM(AK32:AP32)</f>
        <v>132</v>
      </c>
      <c r="AK32" s="188">
        <v>12</v>
      </c>
      <c r="AL32" s="188"/>
      <c r="AM32" s="188"/>
      <c r="AN32" s="188"/>
      <c r="AO32" s="188"/>
      <c r="AP32" s="188">
        <v>120</v>
      </c>
      <c r="AQ32" s="251">
        <f>SUM(AR32:AW32)</f>
        <v>0</v>
      </c>
      <c r="AR32" s="256"/>
      <c r="AS32" s="188"/>
      <c r="AT32" s="188"/>
      <c r="AU32" s="188"/>
      <c r="AV32" s="188"/>
      <c r="AW32" s="188"/>
      <c r="AX32" s="251">
        <f>SUM(AY32:BF32)</f>
        <v>0</v>
      </c>
      <c r="AY32" s="188"/>
      <c r="AZ32" s="188"/>
      <c r="BA32" s="188"/>
      <c r="BB32" s="188"/>
      <c r="BC32" s="188"/>
      <c r="BD32" s="188"/>
      <c r="BE32" s="188"/>
      <c r="BF32" s="188"/>
      <c r="BG32" s="249" t="str">
        <f>'Учебный план (очная)'!CP50</f>
        <v>64-7</v>
      </c>
      <c r="BH32" s="304" t="str">
        <f>'Учебный план (очная)'!CQ50</f>
        <v>ОК 1-9, ПК 1.1-1.3</v>
      </c>
    </row>
    <row r="33" spans="1:60" s="166" customFormat="1" ht="25.5" customHeight="1">
      <c r="A33" s="300" t="str">
        <f>'Учебный план (очная)'!A51</f>
        <v>Экзамен квалификационный</v>
      </c>
      <c r="B33" s="300"/>
      <c r="C33" s="300"/>
      <c r="D33" s="325" t="s">
        <v>38</v>
      </c>
      <c r="E33" s="301"/>
      <c r="F33" s="301"/>
      <c r="G33" s="301"/>
      <c r="H33" s="301"/>
      <c r="I33" s="301"/>
      <c r="J33" s="302"/>
      <c r="K33" s="301"/>
      <c r="L33" s="192">
        <f>'Учебный план (очная)'!N51</f>
        <v>0</v>
      </c>
      <c r="M33" s="192">
        <f>'Учебный план (очная)'!O51</f>
        <v>0</v>
      </c>
      <c r="N33" s="303"/>
      <c r="O33" s="303"/>
      <c r="P33" s="303"/>
      <c r="Q33" s="303"/>
      <c r="R33" s="303"/>
      <c r="S33" s="303"/>
      <c r="T33" s="303"/>
      <c r="U33" s="303"/>
      <c r="V33" s="303"/>
      <c r="W33" s="192"/>
      <c r="X33" s="192"/>
      <c r="Y33" s="192"/>
      <c r="Z33" s="192"/>
      <c r="AA33" s="192"/>
      <c r="AB33" s="192"/>
      <c r="AC33" s="303"/>
      <c r="AD33" s="192"/>
      <c r="AE33" s="192"/>
      <c r="AF33" s="192"/>
      <c r="AG33" s="192"/>
      <c r="AH33" s="192"/>
      <c r="AI33" s="192"/>
      <c r="AJ33" s="303"/>
      <c r="AK33" s="192"/>
      <c r="AL33" s="192"/>
      <c r="AM33" s="192"/>
      <c r="AN33" s="192"/>
      <c r="AO33" s="192"/>
      <c r="AP33" s="192"/>
      <c r="AQ33" s="303"/>
      <c r="AR33" s="192"/>
      <c r="AS33" s="192"/>
      <c r="AT33" s="192"/>
      <c r="AU33" s="192"/>
      <c r="AV33" s="192"/>
      <c r="AW33" s="192"/>
      <c r="AX33" s="303"/>
      <c r="AY33" s="192"/>
      <c r="AZ33" s="192"/>
      <c r="BA33" s="192"/>
      <c r="BB33" s="192"/>
      <c r="BC33" s="192"/>
      <c r="BD33" s="192"/>
      <c r="BE33" s="192"/>
      <c r="BF33" s="192"/>
      <c r="BG33" s="301">
        <f>'Учебный план (очная)'!CP51</f>
        <v>0</v>
      </c>
      <c r="BH33" s="303">
        <f>'Учебный план (очная)'!CQ51</f>
        <v>0</v>
      </c>
    </row>
    <row r="34" spans="1:60" s="165" customFormat="1" ht="25.5" customHeight="1">
      <c r="A34" s="267" t="str">
        <f>'[2]Учебный план'!A76</f>
        <v>ПМ.02</v>
      </c>
      <c r="B34" s="648" t="str">
        <f>'Учебный план (очная)'!B52</f>
        <v>Организация сервисного обслуживания на транспорте (по видам транспорта)</v>
      </c>
      <c r="C34" s="649"/>
      <c r="D34" s="649"/>
      <c r="E34" s="649"/>
      <c r="F34" s="649"/>
      <c r="G34" s="649"/>
      <c r="H34" s="649"/>
      <c r="I34" s="650"/>
      <c r="J34" s="320"/>
      <c r="K34" s="270"/>
      <c r="L34" s="269">
        <f>'Учебный план (очная)'!N52</f>
        <v>363</v>
      </c>
      <c r="M34" s="269">
        <f>'Учебный план (очная)'!O52</f>
        <v>242</v>
      </c>
      <c r="N34" s="270">
        <f>SUM(N35:N38)</f>
        <v>363</v>
      </c>
      <c r="O34" s="270">
        <f>SUM(O35:O38)</f>
        <v>52</v>
      </c>
      <c r="P34" s="270">
        <f>SUM(P35:P38)</f>
        <v>52</v>
      </c>
      <c r="Q34" s="270">
        <f>SUM(Q35:Q38)</f>
        <v>0</v>
      </c>
      <c r="R34" s="270">
        <f>SUM(R35:R38)</f>
        <v>0</v>
      </c>
      <c r="S34" s="270"/>
      <c r="T34" s="270">
        <f>SUM(T35:T38)</f>
        <v>0</v>
      </c>
      <c r="U34" s="270">
        <f>SUM(U35:U38)</f>
        <v>311</v>
      </c>
      <c r="V34" s="270">
        <f>SUM(V35:V38)</f>
        <v>0</v>
      </c>
      <c r="W34" s="270">
        <f>SUM(W35:W36)</f>
        <v>0</v>
      </c>
      <c r="X34" s="270">
        <f>SUM(X35:X38)</f>
        <v>0</v>
      </c>
      <c r="Y34" s="270">
        <f>SUM(Y35:Y38)</f>
        <v>0</v>
      </c>
      <c r="Z34" s="270"/>
      <c r="AA34" s="270">
        <f aca="true" t="shared" si="40" ref="AA34:AF34">SUM(AA35:AA38)</f>
        <v>0</v>
      </c>
      <c r="AB34" s="270">
        <f t="shared" si="40"/>
        <v>0</v>
      </c>
      <c r="AC34" s="270">
        <f t="shared" si="40"/>
        <v>0</v>
      </c>
      <c r="AD34" s="270">
        <f t="shared" si="40"/>
        <v>18</v>
      </c>
      <c r="AE34" s="270">
        <f t="shared" si="40"/>
        <v>0</v>
      </c>
      <c r="AF34" s="270">
        <f t="shared" si="40"/>
        <v>0</v>
      </c>
      <c r="AG34" s="270"/>
      <c r="AH34" s="270">
        <f aca="true" t="shared" si="41" ref="AH34:AM34">SUM(AH35:AH38)</f>
        <v>0</v>
      </c>
      <c r="AI34" s="270">
        <f t="shared" si="41"/>
        <v>153</v>
      </c>
      <c r="AJ34" s="270">
        <f t="shared" si="41"/>
        <v>60</v>
      </c>
      <c r="AK34" s="270">
        <f t="shared" si="41"/>
        <v>10</v>
      </c>
      <c r="AL34" s="270">
        <f t="shared" si="41"/>
        <v>0</v>
      </c>
      <c r="AM34" s="270">
        <f t="shared" si="41"/>
        <v>0</v>
      </c>
      <c r="AN34" s="270"/>
      <c r="AO34" s="270">
        <f aca="true" t="shared" si="42" ref="AO34:AT34">SUM(AO35:AO38)</f>
        <v>0</v>
      </c>
      <c r="AP34" s="270">
        <f t="shared" si="42"/>
        <v>50</v>
      </c>
      <c r="AQ34" s="270">
        <f t="shared" si="42"/>
        <v>132</v>
      </c>
      <c r="AR34" s="270">
        <f t="shared" si="42"/>
        <v>24</v>
      </c>
      <c r="AS34" s="270">
        <f t="shared" si="42"/>
        <v>0</v>
      </c>
      <c r="AT34" s="270">
        <f t="shared" si="42"/>
        <v>0</v>
      </c>
      <c r="AU34" s="270"/>
      <c r="AV34" s="270">
        <f aca="true" t="shared" si="43" ref="AV34:BB34">SUM(AV35:AV38)</f>
        <v>0</v>
      </c>
      <c r="AW34" s="270">
        <f t="shared" si="43"/>
        <v>108</v>
      </c>
      <c r="AX34" s="270">
        <f t="shared" si="43"/>
        <v>0</v>
      </c>
      <c r="AY34" s="270">
        <f t="shared" si="43"/>
        <v>0</v>
      </c>
      <c r="AZ34" s="270">
        <f t="shared" si="43"/>
        <v>0</v>
      </c>
      <c r="BA34" s="270">
        <f t="shared" si="43"/>
        <v>0</v>
      </c>
      <c r="BB34" s="270">
        <f t="shared" si="43"/>
        <v>0</v>
      </c>
      <c r="BC34" s="270"/>
      <c r="BD34" s="270">
        <f>SUM(BD35:BD38)</f>
        <v>0</v>
      </c>
      <c r="BE34" s="270">
        <f>SUM(BE35:BE38)</f>
        <v>0</v>
      </c>
      <c r="BF34" s="270">
        <f>SUM(BF35:BF38)</f>
        <v>0</v>
      </c>
      <c r="BG34" s="268" t="str">
        <f>'Учебный план (очная)'!CP52</f>
        <v>64-7</v>
      </c>
      <c r="BH34" s="461"/>
    </row>
    <row r="35" spans="1:60" s="166" customFormat="1" ht="25.5" customHeight="1">
      <c r="A35" s="265" t="str">
        <f>'Учебный план (очная)'!A53</f>
        <v>МДК.02.01.</v>
      </c>
      <c r="B35" s="265" t="str">
        <f>'Учебный план (очная)'!B53</f>
        <v>Организация движения (по видам транспорта)</v>
      </c>
      <c r="C35" s="249"/>
      <c r="D35" s="249"/>
      <c r="E35" s="249" t="s">
        <v>29</v>
      </c>
      <c r="F35" s="249"/>
      <c r="G35" s="249"/>
      <c r="H35" s="304"/>
      <c r="I35" s="249"/>
      <c r="J35" s="188">
        <f>L35-N35</f>
        <v>0</v>
      </c>
      <c r="K35" s="249">
        <f>M35*$K$1</f>
        <v>34.2</v>
      </c>
      <c r="L35" s="188">
        <f>'Учебный план (очная)'!N53</f>
        <v>171</v>
      </c>
      <c r="M35" s="188">
        <f>'Учебный план (очная)'!O53</f>
        <v>114</v>
      </c>
      <c r="N35" s="250">
        <f>SUM(O35+U35)</f>
        <v>171</v>
      </c>
      <c r="O35" s="250">
        <f>SUM(P35:T35)</f>
        <v>18</v>
      </c>
      <c r="P35" s="250">
        <f aca="true" t="shared" si="44" ref="P35:R37">W35+AD35+AK35+AR35+AZ35</f>
        <v>18</v>
      </c>
      <c r="Q35" s="250">
        <f t="shared" si="44"/>
        <v>0</v>
      </c>
      <c r="R35" s="250">
        <f t="shared" si="44"/>
        <v>0</v>
      </c>
      <c r="S35" s="250"/>
      <c r="T35" s="250">
        <f>AA35+AH35+AO35+AV35+BD35</f>
        <v>0</v>
      </c>
      <c r="U35" s="250">
        <f>AB35+AI35+AP35+AW35+BF35</f>
        <v>153</v>
      </c>
      <c r="V35" s="251"/>
      <c r="W35" s="188"/>
      <c r="X35" s="188"/>
      <c r="Y35" s="188"/>
      <c r="Z35" s="188"/>
      <c r="AA35" s="188"/>
      <c r="AB35" s="188"/>
      <c r="AC35" s="251"/>
      <c r="AD35" s="188">
        <v>18</v>
      </c>
      <c r="AE35" s="188"/>
      <c r="AF35" s="188"/>
      <c r="AG35" s="188"/>
      <c r="AH35" s="188"/>
      <c r="AI35" s="256">
        <v>153</v>
      </c>
      <c r="AJ35" s="251"/>
      <c r="AK35" s="188"/>
      <c r="AL35" s="188"/>
      <c r="AM35" s="188"/>
      <c r="AN35" s="188"/>
      <c r="AO35" s="188"/>
      <c r="AP35" s="188"/>
      <c r="AQ35" s="251"/>
      <c r="AR35" s="188"/>
      <c r="AS35" s="188"/>
      <c r="AT35" s="188"/>
      <c r="AU35" s="188"/>
      <c r="AV35" s="188"/>
      <c r="AW35" s="188"/>
      <c r="AX35" s="251"/>
      <c r="AY35" s="188"/>
      <c r="AZ35" s="188"/>
      <c r="BA35" s="188"/>
      <c r="BB35" s="188"/>
      <c r="BC35" s="188"/>
      <c r="BD35" s="188"/>
      <c r="BE35" s="188"/>
      <c r="BF35" s="188"/>
      <c r="BG35" s="266" t="str">
        <f>'Учебный план (очная)'!CP53</f>
        <v>64-7</v>
      </c>
      <c r="BH35" s="462" t="str">
        <f>'Учебный план (очная)'!CQ53</f>
        <v>ОК 1-9; ПК 2.1-2.3</v>
      </c>
    </row>
    <row r="36" spans="1:60" s="166" customFormat="1" ht="25.5" customHeight="1">
      <c r="A36" s="265" t="str">
        <f>'Учебный план (очная)'!A54</f>
        <v>МДК.02.02.</v>
      </c>
      <c r="B36" s="265" t="str">
        <f>'Учебный план (очная)'!B54</f>
        <v>Организация пассажирских перевозок и обслуживание пассажиров (по видам транспорта)</v>
      </c>
      <c r="C36" s="198"/>
      <c r="D36" s="249"/>
      <c r="E36" s="249" t="s">
        <v>38</v>
      </c>
      <c r="F36" s="249"/>
      <c r="G36" s="249"/>
      <c r="H36" s="304"/>
      <c r="I36" s="326" t="s">
        <v>28</v>
      </c>
      <c r="J36" s="188">
        <f>L36-N36</f>
        <v>0</v>
      </c>
      <c r="K36" s="249">
        <f>M36*$K$1</f>
        <v>24</v>
      </c>
      <c r="L36" s="188">
        <f>'Учебный план (очная)'!N54</f>
        <v>120</v>
      </c>
      <c r="M36" s="188">
        <f>'Учебный план (очная)'!O54</f>
        <v>80</v>
      </c>
      <c r="N36" s="250">
        <f>SUM(O36+U36)</f>
        <v>120</v>
      </c>
      <c r="O36" s="250">
        <f>SUM(P36:T36)</f>
        <v>22</v>
      </c>
      <c r="P36" s="250">
        <f t="shared" si="44"/>
        <v>22</v>
      </c>
      <c r="Q36" s="250">
        <f t="shared" si="44"/>
        <v>0</v>
      </c>
      <c r="R36" s="250">
        <f t="shared" si="44"/>
        <v>0</v>
      </c>
      <c r="S36" s="250"/>
      <c r="T36" s="250">
        <f>AA36+AH36+AO36+AV36+BD36</f>
        <v>0</v>
      </c>
      <c r="U36" s="250">
        <f>AB36+AI36+AP36+AW36+BF36</f>
        <v>98</v>
      </c>
      <c r="V36" s="251">
        <f>SUM(W36:AB36)</f>
        <v>0</v>
      </c>
      <c r="W36" s="188"/>
      <c r="X36" s="188"/>
      <c r="Y36" s="188"/>
      <c r="Z36" s="188"/>
      <c r="AA36" s="188"/>
      <c r="AB36" s="188"/>
      <c r="AC36" s="251">
        <f>SUM(AD36:AI36)</f>
        <v>0</v>
      </c>
      <c r="AD36" s="188"/>
      <c r="AE36" s="188"/>
      <c r="AF36" s="188"/>
      <c r="AG36" s="188"/>
      <c r="AH36" s="188"/>
      <c r="AI36" s="188"/>
      <c r="AJ36" s="251">
        <f>SUM(AK36:AP36)</f>
        <v>60</v>
      </c>
      <c r="AK36" s="188">
        <v>10</v>
      </c>
      <c r="AL36" s="188"/>
      <c r="AM36" s="188"/>
      <c r="AN36" s="188"/>
      <c r="AO36" s="188"/>
      <c r="AP36" s="188">
        <v>50</v>
      </c>
      <c r="AQ36" s="251">
        <f>SUM(AR36:AW36)</f>
        <v>60</v>
      </c>
      <c r="AR36" s="188">
        <v>12</v>
      </c>
      <c r="AS36" s="188"/>
      <c r="AT36" s="188"/>
      <c r="AU36" s="188"/>
      <c r="AV36" s="188"/>
      <c r="AW36" s="188">
        <v>48</v>
      </c>
      <c r="AX36" s="251">
        <f>SUM(AY36:BF36)</f>
        <v>0</v>
      </c>
      <c r="AY36" s="188"/>
      <c r="AZ36" s="188"/>
      <c r="BA36" s="188"/>
      <c r="BB36" s="188"/>
      <c r="BC36" s="188"/>
      <c r="BD36" s="188"/>
      <c r="BE36" s="188"/>
      <c r="BF36" s="188"/>
      <c r="BG36" s="266" t="str">
        <f>'Учебный план (очная)'!CP54</f>
        <v>64-7</v>
      </c>
      <c r="BH36" s="462" t="str">
        <f>'Учебный план (очная)'!CQ54</f>
        <v>ОК 1-9; ПК 2.1-2.3</v>
      </c>
    </row>
    <row r="37" spans="1:60" s="166" customFormat="1" ht="25.5" customHeight="1">
      <c r="A37" s="265" t="str">
        <f>'Учебный план (очная)'!A55</f>
        <v>МДК.02.03.</v>
      </c>
      <c r="B37" s="265" t="str">
        <f>'Учебный план (очная)'!B55</f>
        <v>Организация и управление безопасностью на водном транспорте</v>
      </c>
      <c r="C37" s="198"/>
      <c r="D37" s="249"/>
      <c r="E37" s="326" t="s">
        <v>38</v>
      </c>
      <c r="F37" s="249"/>
      <c r="G37" s="249"/>
      <c r="H37" s="304"/>
      <c r="I37" s="326"/>
      <c r="J37" s="188">
        <f>L37-N37</f>
        <v>0</v>
      </c>
      <c r="K37" s="249">
        <f>M37*$K$1</f>
        <v>14.4</v>
      </c>
      <c r="L37" s="188">
        <f>'Учебный план (очная)'!N55</f>
        <v>72</v>
      </c>
      <c r="M37" s="188">
        <v>48</v>
      </c>
      <c r="N37" s="250">
        <f>SUM(O37+U37)</f>
        <v>72</v>
      </c>
      <c r="O37" s="250">
        <f>SUM(P37:T37)</f>
        <v>12</v>
      </c>
      <c r="P37" s="250">
        <f t="shared" si="44"/>
        <v>12</v>
      </c>
      <c r="Q37" s="250"/>
      <c r="R37" s="250"/>
      <c r="S37" s="250"/>
      <c r="T37" s="250"/>
      <c r="U37" s="250">
        <f>AB37+AI37+AP37+AW37+BF37</f>
        <v>60</v>
      </c>
      <c r="V37" s="251"/>
      <c r="W37" s="188"/>
      <c r="X37" s="188"/>
      <c r="Y37" s="188"/>
      <c r="Z37" s="188"/>
      <c r="AA37" s="188"/>
      <c r="AB37" s="188"/>
      <c r="AC37" s="251"/>
      <c r="AD37" s="188"/>
      <c r="AE37" s="188"/>
      <c r="AF37" s="188"/>
      <c r="AG37" s="188"/>
      <c r="AH37" s="188"/>
      <c r="AI37" s="188"/>
      <c r="AJ37" s="251">
        <f>SUM(AK37:AP37)</f>
        <v>0</v>
      </c>
      <c r="AK37" s="188"/>
      <c r="AL37" s="188"/>
      <c r="AM37" s="188"/>
      <c r="AN37" s="188"/>
      <c r="AO37" s="188"/>
      <c r="AP37" s="188"/>
      <c r="AQ37" s="251">
        <f>SUM(AR37:AW37)</f>
        <v>72</v>
      </c>
      <c r="AR37" s="188">
        <v>12</v>
      </c>
      <c r="AS37" s="188"/>
      <c r="AT37" s="188"/>
      <c r="AU37" s="188"/>
      <c r="AV37" s="188"/>
      <c r="AW37" s="188">
        <v>60</v>
      </c>
      <c r="AX37" s="251"/>
      <c r="AY37" s="188"/>
      <c r="AZ37" s="188"/>
      <c r="BA37" s="188"/>
      <c r="BB37" s="188"/>
      <c r="BC37" s="188"/>
      <c r="BD37" s="188"/>
      <c r="BE37" s="188"/>
      <c r="BF37" s="188"/>
      <c r="BG37" s="266"/>
      <c r="BH37" s="462" t="str">
        <f>'Учебный план (очная)'!CQ55</f>
        <v>ОК 1-9, ПК 2.2</v>
      </c>
    </row>
    <row r="38" spans="1:60" s="166" customFormat="1" ht="25.5" customHeight="1">
      <c r="A38" s="305" t="str">
        <f>'Учебный план (очная)'!A56</f>
        <v>Экзамен квалификационный</v>
      </c>
      <c r="B38" s="305"/>
      <c r="C38" s="306"/>
      <c r="D38" s="325" t="s">
        <v>38</v>
      </c>
      <c r="E38" s="301"/>
      <c r="F38" s="301"/>
      <c r="G38" s="301"/>
      <c r="H38" s="303"/>
      <c r="I38" s="301"/>
      <c r="J38" s="302"/>
      <c r="K38" s="301"/>
      <c r="L38" s="192">
        <f>'Учебный план (очная)'!N56</f>
        <v>0</v>
      </c>
      <c r="M38" s="192">
        <f>'Учебный план (очная)'!O56</f>
        <v>0</v>
      </c>
      <c r="N38" s="303"/>
      <c r="O38" s="303">
        <f>SUM(P38:T38)</f>
        <v>0</v>
      </c>
      <c r="P38" s="303">
        <f>W38+AD38+AK38+AR38</f>
        <v>0</v>
      </c>
      <c r="Q38" s="303">
        <f>X38+AE38+AL38+AS38</f>
        <v>0</v>
      </c>
      <c r="R38" s="303">
        <f>Y38+AF38+AM38+AT38</f>
        <v>0</v>
      </c>
      <c r="S38" s="303"/>
      <c r="T38" s="303">
        <f>AA38+AH38+AO38+AV38</f>
        <v>0</v>
      </c>
      <c r="U38" s="303">
        <f>AB38+AI38+AP38+AW38</f>
        <v>0</v>
      </c>
      <c r="V38" s="303">
        <f>SUM(W38:AB38)</f>
        <v>0</v>
      </c>
      <c r="W38" s="192"/>
      <c r="X38" s="192"/>
      <c r="Y38" s="192"/>
      <c r="Z38" s="192"/>
      <c r="AA38" s="192"/>
      <c r="AB38" s="192"/>
      <c r="AC38" s="303">
        <f>SUM(AD38:AI38)</f>
        <v>0</v>
      </c>
      <c r="AD38" s="192"/>
      <c r="AE38" s="192"/>
      <c r="AF38" s="192"/>
      <c r="AG38" s="192"/>
      <c r="AH38" s="192"/>
      <c r="AI38" s="192"/>
      <c r="AJ38" s="303">
        <f>SUM(AK38:AP38)</f>
        <v>0</v>
      </c>
      <c r="AK38" s="192"/>
      <c r="AL38" s="192"/>
      <c r="AM38" s="192"/>
      <c r="AN38" s="192"/>
      <c r="AO38" s="192"/>
      <c r="AP38" s="192"/>
      <c r="AQ38" s="303">
        <f>SUM(AR38:AW38)</f>
        <v>0</v>
      </c>
      <c r="AR38" s="192"/>
      <c r="AS38" s="192"/>
      <c r="AT38" s="192"/>
      <c r="AU38" s="192"/>
      <c r="AV38" s="192"/>
      <c r="AW38" s="192"/>
      <c r="AX38" s="303">
        <f>SUM(AY38:BF38)</f>
        <v>0</v>
      </c>
      <c r="AY38" s="192"/>
      <c r="AZ38" s="192"/>
      <c r="BA38" s="192"/>
      <c r="BB38" s="192"/>
      <c r="BC38" s="192"/>
      <c r="BD38" s="192"/>
      <c r="BE38" s="192"/>
      <c r="BF38" s="192"/>
      <c r="BG38" s="301">
        <f>'Учебный план (очная)'!CP56</f>
        <v>0</v>
      </c>
      <c r="BH38" s="463">
        <f>'Учебный план (очная)'!CQ56</f>
        <v>0</v>
      </c>
    </row>
    <row r="39" spans="1:60" s="166" customFormat="1" ht="25.5" customHeight="1">
      <c r="A39" s="267" t="str">
        <f>'Учебный план (очная)'!A57</f>
        <v>ПМ.03</v>
      </c>
      <c r="B39" s="648" t="str">
        <f>'Учебный план (очная)'!B57</f>
        <v>Организация транспортно-логистической деятельности (по видам транспорта)</v>
      </c>
      <c r="C39" s="649"/>
      <c r="D39" s="649"/>
      <c r="E39" s="649"/>
      <c r="F39" s="649"/>
      <c r="G39" s="649"/>
      <c r="H39" s="649"/>
      <c r="I39" s="650"/>
      <c r="J39" s="320"/>
      <c r="K39" s="270"/>
      <c r="L39" s="269">
        <f>'Учебный план (очная)'!N57</f>
        <v>575</v>
      </c>
      <c r="M39" s="269">
        <f>'Учебный план (очная)'!O57</f>
        <v>383</v>
      </c>
      <c r="N39" s="270">
        <f>SUM(N40:N42)</f>
        <v>575</v>
      </c>
      <c r="O39" s="270">
        <f>SUM(O40:O42)</f>
        <v>84</v>
      </c>
      <c r="P39" s="270">
        <f aca="true" t="shared" si="45" ref="P39:AW39">SUM(P40:P42)</f>
        <v>64</v>
      </c>
      <c r="Q39" s="270">
        <f t="shared" si="45"/>
        <v>0</v>
      </c>
      <c r="R39" s="270">
        <f t="shared" si="45"/>
        <v>20</v>
      </c>
      <c r="S39" s="270"/>
      <c r="T39" s="270">
        <f t="shared" si="45"/>
        <v>0</v>
      </c>
      <c r="U39" s="270">
        <f t="shared" si="45"/>
        <v>491</v>
      </c>
      <c r="V39" s="270">
        <f t="shared" si="45"/>
        <v>0</v>
      </c>
      <c r="W39" s="270">
        <f t="shared" si="45"/>
        <v>0</v>
      </c>
      <c r="X39" s="270">
        <f t="shared" si="45"/>
        <v>0</v>
      </c>
      <c r="Y39" s="270">
        <f t="shared" si="45"/>
        <v>0</v>
      </c>
      <c r="Z39" s="270"/>
      <c r="AA39" s="270">
        <f t="shared" si="45"/>
        <v>0</v>
      </c>
      <c r="AB39" s="270">
        <f t="shared" si="45"/>
        <v>0</v>
      </c>
      <c r="AC39" s="270">
        <f t="shared" si="45"/>
        <v>0</v>
      </c>
      <c r="AD39" s="270">
        <f t="shared" si="45"/>
        <v>0</v>
      </c>
      <c r="AE39" s="270">
        <f t="shared" si="45"/>
        <v>0</v>
      </c>
      <c r="AF39" s="270">
        <f t="shared" si="45"/>
        <v>0</v>
      </c>
      <c r="AG39" s="270"/>
      <c r="AH39" s="270">
        <f t="shared" si="45"/>
        <v>0</v>
      </c>
      <c r="AI39" s="270">
        <f t="shared" si="45"/>
        <v>0</v>
      </c>
      <c r="AJ39" s="270">
        <f t="shared" si="45"/>
        <v>411</v>
      </c>
      <c r="AK39" s="270">
        <f t="shared" si="45"/>
        <v>48</v>
      </c>
      <c r="AL39" s="270">
        <f t="shared" si="45"/>
        <v>0</v>
      </c>
      <c r="AM39" s="270">
        <f t="shared" si="45"/>
        <v>0</v>
      </c>
      <c r="AN39" s="270"/>
      <c r="AO39" s="270">
        <f t="shared" si="45"/>
        <v>0</v>
      </c>
      <c r="AP39" s="270">
        <f t="shared" si="45"/>
        <v>363</v>
      </c>
      <c r="AQ39" s="270">
        <f t="shared" si="45"/>
        <v>164</v>
      </c>
      <c r="AR39" s="270">
        <f t="shared" si="45"/>
        <v>16</v>
      </c>
      <c r="AS39" s="270">
        <f t="shared" si="45"/>
        <v>0</v>
      </c>
      <c r="AT39" s="270">
        <f t="shared" si="45"/>
        <v>20</v>
      </c>
      <c r="AU39" s="270"/>
      <c r="AV39" s="270">
        <f t="shared" si="45"/>
        <v>0</v>
      </c>
      <c r="AW39" s="270">
        <f t="shared" si="45"/>
        <v>128</v>
      </c>
      <c r="AX39" s="270">
        <f aca="true" t="shared" si="46" ref="AX39:BF39">SUM(AX40:AX42)</f>
        <v>0</v>
      </c>
      <c r="AY39" s="270">
        <f t="shared" si="46"/>
        <v>0</v>
      </c>
      <c r="AZ39" s="270">
        <f t="shared" si="46"/>
        <v>0</v>
      </c>
      <c r="BA39" s="270">
        <f t="shared" si="46"/>
        <v>0</v>
      </c>
      <c r="BB39" s="270">
        <f t="shared" si="46"/>
        <v>0</v>
      </c>
      <c r="BC39" s="270"/>
      <c r="BD39" s="270">
        <f t="shared" si="46"/>
        <v>0</v>
      </c>
      <c r="BE39" s="270">
        <f t="shared" si="46"/>
        <v>0</v>
      </c>
      <c r="BF39" s="270">
        <f t="shared" si="46"/>
        <v>0</v>
      </c>
      <c r="BG39" s="272" t="str">
        <f>'Учебный план (очная)'!CP57</f>
        <v>64-7</v>
      </c>
      <c r="BH39" s="461"/>
    </row>
    <row r="40" spans="1:60" s="166" customFormat="1" ht="25.5" customHeight="1">
      <c r="A40" s="271" t="str">
        <f>'Учебный план (очная)'!A58</f>
        <v>МДК.03.01.</v>
      </c>
      <c r="B40" s="271" t="str">
        <f>'Учебный план (очная)'!B58</f>
        <v>Транспортно-экспедиционная деятельность (по видам транспорта)</v>
      </c>
      <c r="C40" s="198"/>
      <c r="D40" s="249" t="s">
        <v>28</v>
      </c>
      <c r="E40" s="249"/>
      <c r="F40" s="249"/>
      <c r="G40" s="249"/>
      <c r="H40" s="249"/>
      <c r="I40" s="266"/>
      <c r="J40" s="188">
        <f>L40-N40</f>
        <v>0</v>
      </c>
      <c r="K40" s="249">
        <f>M40*$K$1</f>
        <v>22.8</v>
      </c>
      <c r="L40" s="188">
        <f>'Учебный план (очная)'!N58</f>
        <v>114</v>
      </c>
      <c r="M40" s="188">
        <f>'Учебный план (очная)'!O58</f>
        <v>76</v>
      </c>
      <c r="N40" s="250">
        <f>SUM(O40+U40)</f>
        <v>114</v>
      </c>
      <c r="O40" s="250">
        <f>SUM(P40:T40)</f>
        <v>18</v>
      </c>
      <c r="P40" s="250">
        <f aca="true" t="shared" si="47" ref="P40:R42">W40+AD40+AK40+AR40+AZ40</f>
        <v>18</v>
      </c>
      <c r="Q40" s="250">
        <f t="shared" si="47"/>
        <v>0</v>
      </c>
      <c r="R40" s="250">
        <f t="shared" si="47"/>
        <v>0</v>
      </c>
      <c r="S40" s="250"/>
      <c r="T40" s="250">
        <f>AA40+AH40+AO40+AV40+BD40</f>
        <v>0</v>
      </c>
      <c r="U40" s="250">
        <f>AB40+AI40+AP40+AW40+BF40</f>
        <v>96</v>
      </c>
      <c r="V40" s="251">
        <f>SUM(W40:AB40)</f>
        <v>0</v>
      </c>
      <c r="W40" s="188"/>
      <c r="X40" s="188"/>
      <c r="Y40" s="188"/>
      <c r="Z40" s="188"/>
      <c r="AA40" s="188"/>
      <c r="AB40" s="188"/>
      <c r="AC40" s="251">
        <f>SUM(AD40:AI40)</f>
        <v>0</v>
      </c>
      <c r="AD40" s="188"/>
      <c r="AE40" s="188"/>
      <c r="AF40" s="188"/>
      <c r="AG40" s="188"/>
      <c r="AH40" s="188"/>
      <c r="AI40" s="188"/>
      <c r="AJ40" s="251">
        <f>SUM(AK40:AP40)</f>
        <v>114</v>
      </c>
      <c r="AK40" s="188">
        <v>18</v>
      </c>
      <c r="AL40" s="188"/>
      <c r="AM40" s="188"/>
      <c r="AN40" s="188"/>
      <c r="AO40" s="188"/>
      <c r="AP40" s="188">
        <v>96</v>
      </c>
      <c r="AQ40" s="251">
        <f>SUM(AR40:AW40)</f>
        <v>0</v>
      </c>
      <c r="AR40" s="188"/>
      <c r="AS40" s="188"/>
      <c r="AT40" s="188"/>
      <c r="AU40" s="188"/>
      <c r="AV40" s="188"/>
      <c r="AW40" s="188"/>
      <c r="AX40" s="251">
        <f>SUM(AY40:BF40)</f>
        <v>0</v>
      </c>
      <c r="AY40" s="188"/>
      <c r="AZ40" s="188"/>
      <c r="BA40" s="188"/>
      <c r="BB40" s="188"/>
      <c r="BC40" s="188"/>
      <c r="BD40" s="188"/>
      <c r="BE40" s="188"/>
      <c r="BF40" s="188"/>
      <c r="BG40" s="249" t="str">
        <f>'Учебный план (очная)'!CP58</f>
        <v>64-7</v>
      </c>
      <c r="BH40" s="460" t="str">
        <f>'Учебный план (очная)'!CQ58</f>
        <v>ОК 1-9; ПК 3.1-3.3</v>
      </c>
    </row>
    <row r="41" spans="1:60" s="166" customFormat="1" ht="25.5" customHeight="1">
      <c r="A41" s="271" t="str">
        <f>'Учебный план (очная)'!A59</f>
        <v>МДК.03.02.</v>
      </c>
      <c r="B41" s="271" t="str">
        <f>'Учебный план (очная)'!B59</f>
        <v>Обеспечение грузовых перевозок (по видам транспорта)</v>
      </c>
      <c r="C41" s="198"/>
      <c r="D41" s="249"/>
      <c r="E41" s="326" t="s">
        <v>426</v>
      </c>
      <c r="F41" s="249"/>
      <c r="G41" s="249"/>
      <c r="H41" s="249" t="s">
        <v>38</v>
      </c>
      <c r="I41" s="326"/>
      <c r="J41" s="188">
        <f>L41-N41</f>
        <v>0</v>
      </c>
      <c r="K41" s="249">
        <f>M41*$K$1</f>
        <v>60.9</v>
      </c>
      <c r="L41" s="188">
        <f>'Учебный план (очная)'!N59</f>
        <v>305</v>
      </c>
      <c r="M41" s="188">
        <f>'Учебный план (очная)'!O59</f>
        <v>203</v>
      </c>
      <c r="N41" s="250">
        <f>SUM(O41+U41)</f>
        <v>305</v>
      </c>
      <c r="O41" s="250">
        <f>SUM(P41:T41)</f>
        <v>46</v>
      </c>
      <c r="P41" s="250">
        <f t="shared" si="47"/>
        <v>26</v>
      </c>
      <c r="Q41" s="250">
        <f t="shared" si="47"/>
        <v>0</v>
      </c>
      <c r="R41" s="250">
        <f t="shared" si="47"/>
        <v>20</v>
      </c>
      <c r="S41" s="250"/>
      <c r="T41" s="250">
        <f>AA41+AH41+AO41+AV41+BD41</f>
        <v>0</v>
      </c>
      <c r="U41" s="250">
        <f>AB41+AI41+AP41+AW41+BF41</f>
        <v>259</v>
      </c>
      <c r="V41" s="251">
        <f>SUM(W41:AB41)</f>
        <v>0</v>
      </c>
      <c r="W41" s="188"/>
      <c r="X41" s="188"/>
      <c r="Y41" s="188"/>
      <c r="Z41" s="188"/>
      <c r="AA41" s="188"/>
      <c r="AB41" s="188"/>
      <c r="AC41" s="251">
        <f>SUM(AD41:AI41)</f>
        <v>0</v>
      </c>
      <c r="AD41" s="188"/>
      <c r="AE41" s="188"/>
      <c r="AF41" s="188"/>
      <c r="AG41" s="188"/>
      <c r="AH41" s="188"/>
      <c r="AI41" s="188"/>
      <c r="AJ41" s="251">
        <f>SUM(AK41:AP41)</f>
        <v>141</v>
      </c>
      <c r="AK41" s="188">
        <v>10</v>
      </c>
      <c r="AL41" s="188"/>
      <c r="AM41" s="188"/>
      <c r="AN41" s="188"/>
      <c r="AO41" s="188"/>
      <c r="AP41" s="188">
        <v>131</v>
      </c>
      <c r="AQ41" s="251">
        <f>SUM(AR41:AW41)</f>
        <v>164</v>
      </c>
      <c r="AR41" s="188">
        <v>16</v>
      </c>
      <c r="AS41" s="188"/>
      <c r="AT41" s="188">
        <v>20</v>
      </c>
      <c r="AU41" s="188"/>
      <c r="AV41" s="188"/>
      <c r="AW41" s="188">
        <v>128</v>
      </c>
      <c r="AX41" s="251">
        <f>SUM(AY41:BF41)</f>
        <v>0</v>
      </c>
      <c r="AY41" s="188"/>
      <c r="AZ41" s="188"/>
      <c r="BA41" s="188"/>
      <c r="BB41" s="188"/>
      <c r="BC41" s="188"/>
      <c r="BD41" s="188"/>
      <c r="BE41" s="188"/>
      <c r="BF41" s="188"/>
      <c r="BG41" s="249" t="str">
        <f>'Учебный план (очная)'!CP59</f>
        <v>64-7</v>
      </c>
      <c r="BH41" s="460" t="str">
        <f>'Учебный план (очная)'!CQ59</f>
        <v>ОК 1-9; ПК 3.1-3.3</v>
      </c>
    </row>
    <row r="42" spans="1:60" s="166" customFormat="1" ht="25.5" customHeight="1">
      <c r="A42" s="271" t="str">
        <f>'Учебный план (очная)'!A60</f>
        <v>МДК.03.03.</v>
      </c>
      <c r="B42" s="271" t="str">
        <f>'Учебный план (очная)'!B60</f>
        <v>Перевозка грузов на особых условиях</v>
      </c>
      <c r="C42" s="198"/>
      <c r="D42" s="249"/>
      <c r="E42" s="249" t="s">
        <v>28</v>
      </c>
      <c r="F42" s="249"/>
      <c r="G42" s="249"/>
      <c r="H42" s="249"/>
      <c r="I42" s="326"/>
      <c r="J42" s="188">
        <f>L42-N42</f>
        <v>0</v>
      </c>
      <c r="K42" s="249">
        <f>M42*$K$1</f>
        <v>31.2</v>
      </c>
      <c r="L42" s="188">
        <f>'Учебный план (очная)'!N60</f>
        <v>156</v>
      </c>
      <c r="M42" s="188">
        <f>'Учебный план (очная)'!O60</f>
        <v>104</v>
      </c>
      <c r="N42" s="250">
        <f>SUM(O42+U42)</f>
        <v>156</v>
      </c>
      <c r="O42" s="250">
        <f>SUM(P42:T42)</f>
        <v>20</v>
      </c>
      <c r="P42" s="250">
        <f t="shared" si="47"/>
        <v>20</v>
      </c>
      <c r="Q42" s="250">
        <f t="shared" si="47"/>
        <v>0</v>
      </c>
      <c r="R42" s="250">
        <f t="shared" si="47"/>
        <v>0</v>
      </c>
      <c r="S42" s="250"/>
      <c r="T42" s="250">
        <f>AA42+AH42+AO42+AV42+BD42</f>
        <v>0</v>
      </c>
      <c r="U42" s="250">
        <f>AB42+AI42+AP42+AW42+BF42</f>
        <v>136</v>
      </c>
      <c r="V42" s="251">
        <f>SUM(W42:AB42)</f>
        <v>0</v>
      </c>
      <c r="W42" s="188"/>
      <c r="X42" s="188"/>
      <c r="Y42" s="188"/>
      <c r="Z42" s="188"/>
      <c r="AA42" s="188"/>
      <c r="AB42" s="188"/>
      <c r="AC42" s="251">
        <f>SUM(AD42:AI42)</f>
        <v>0</v>
      </c>
      <c r="AD42" s="188"/>
      <c r="AE42" s="188"/>
      <c r="AF42" s="188"/>
      <c r="AG42" s="188"/>
      <c r="AH42" s="188"/>
      <c r="AI42" s="188"/>
      <c r="AJ42" s="251">
        <f>SUM(AK42:AP42)</f>
        <v>156</v>
      </c>
      <c r="AK42" s="256">
        <v>20</v>
      </c>
      <c r="AL42" s="256"/>
      <c r="AM42" s="256"/>
      <c r="AN42" s="256"/>
      <c r="AO42" s="256"/>
      <c r="AP42" s="256">
        <v>136</v>
      </c>
      <c r="AQ42" s="251">
        <f>SUM(AR42:AW42)</f>
        <v>0</v>
      </c>
      <c r="AR42" s="188"/>
      <c r="AS42" s="188"/>
      <c r="AT42" s="188"/>
      <c r="AU42" s="188"/>
      <c r="AV42" s="188"/>
      <c r="AW42" s="188"/>
      <c r="AX42" s="251">
        <f>SUM(AY42:BF42)</f>
        <v>0</v>
      </c>
      <c r="AY42" s="188"/>
      <c r="AZ42" s="188"/>
      <c r="BA42" s="188"/>
      <c r="BB42" s="188"/>
      <c r="BC42" s="188"/>
      <c r="BD42" s="188"/>
      <c r="BE42" s="188"/>
      <c r="BF42" s="188"/>
      <c r="BG42" s="249" t="str">
        <f>'Учебный план (очная)'!CP60</f>
        <v>64-7</v>
      </c>
      <c r="BH42" s="460" t="str">
        <f>'Учебный план (очная)'!CQ60</f>
        <v>ОК 1-9; ПК 3.1-3.3</v>
      </c>
    </row>
    <row r="43" spans="1:60" s="166" customFormat="1" ht="25.5" customHeight="1">
      <c r="A43" s="305" t="s">
        <v>340</v>
      </c>
      <c r="B43" s="306"/>
      <c r="C43" s="306"/>
      <c r="D43" s="325" t="s">
        <v>38</v>
      </c>
      <c r="E43" s="301"/>
      <c r="F43" s="301"/>
      <c r="G43" s="301"/>
      <c r="H43" s="301"/>
      <c r="I43" s="301"/>
      <c r="J43" s="302"/>
      <c r="K43" s="301"/>
      <c r="L43" s="192">
        <f>'Учебный план (очная)'!N61</f>
        <v>0</v>
      </c>
      <c r="M43" s="192">
        <f>'Учебный план (очная)'!O61</f>
        <v>0</v>
      </c>
      <c r="N43" s="303"/>
      <c r="O43" s="303"/>
      <c r="P43" s="303"/>
      <c r="Q43" s="303"/>
      <c r="R43" s="303"/>
      <c r="S43" s="303"/>
      <c r="T43" s="303"/>
      <c r="U43" s="303"/>
      <c r="V43" s="303"/>
      <c r="W43" s="192"/>
      <c r="X43" s="192"/>
      <c r="Y43" s="192"/>
      <c r="Z43" s="192"/>
      <c r="AA43" s="192"/>
      <c r="AB43" s="192"/>
      <c r="AC43" s="303"/>
      <c r="AD43" s="192"/>
      <c r="AE43" s="192"/>
      <c r="AF43" s="192"/>
      <c r="AG43" s="192"/>
      <c r="AH43" s="192"/>
      <c r="AI43" s="192"/>
      <c r="AJ43" s="303"/>
      <c r="AK43" s="192"/>
      <c r="AL43" s="192"/>
      <c r="AM43" s="192"/>
      <c r="AN43" s="192"/>
      <c r="AO43" s="192"/>
      <c r="AP43" s="192"/>
      <c r="AQ43" s="303"/>
      <c r="AR43" s="192"/>
      <c r="AS43" s="192"/>
      <c r="AT43" s="192"/>
      <c r="AU43" s="192"/>
      <c r="AV43" s="192"/>
      <c r="AW43" s="192"/>
      <c r="AX43" s="303"/>
      <c r="AY43" s="192"/>
      <c r="AZ43" s="192"/>
      <c r="BA43" s="192"/>
      <c r="BB43" s="192"/>
      <c r="BC43" s="192"/>
      <c r="BD43" s="192"/>
      <c r="BE43" s="192"/>
      <c r="BF43" s="192"/>
      <c r="BG43" s="301">
        <f>'Учебный план (очная)'!CP61</f>
        <v>0</v>
      </c>
      <c r="BH43" s="464">
        <f>'Учебный план (очная)'!CQ61</f>
        <v>0</v>
      </c>
    </row>
    <row r="44" spans="1:61" s="166" customFormat="1" ht="25.5" customHeight="1">
      <c r="A44" s="267" t="str">
        <f>'Учебный план (очная)'!A62</f>
        <v>ПМ.04</v>
      </c>
      <c r="B44" s="651" t="str">
        <f>'Учебный план (очная)'!B62</f>
        <v>Выполнение работ по одной или нескольким профессиям рабочих, должностям служащих</v>
      </c>
      <c r="C44" s="652"/>
      <c r="D44" s="652"/>
      <c r="E44" s="652"/>
      <c r="F44" s="652"/>
      <c r="G44" s="652"/>
      <c r="H44" s="652"/>
      <c r="I44" s="653"/>
      <c r="J44" s="321"/>
      <c r="K44" s="272"/>
      <c r="L44" s="269">
        <f>'Учебный план (очная)'!N62</f>
        <v>204</v>
      </c>
      <c r="M44" s="269">
        <f>'Учебный план (очная)'!O62</f>
        <v>136</v>
      </c>
      <c r="N44" s="269">
        <f aca="true" t="shared" si="48" ref="N44:BF44">SUM(N45:N45)</f>
        <v>204</v>
      </c>
      <c r="O44" s="269">
        <f t="shared" si="48"/>
        <v>16</v>
      </c>
      <c r="P44" s="269">
        <f t="shared" si="48"/>
        <v>16</v>
      </c>
      <c r="Q44" s="269">
        <f t="shared" si="48"/>
        <v>0</v>
      </c>
      <c r="R44" s="269">
        <f t="shared" si="48"/>
        <v>0</v>
      </c>
      <c r="S44" s="269"/>
      <c r="T44" s="269">
        <f t="shared" si="48"/>
        <v>0</v>
      </c>
      <c r="U44" s="269">
        <f t="shared" si="48"/>
        <v>188</v>
      </c>
      <c r="V44" s="269">
        <f t="shared" si="48"/>
        <v>0</v>
      </c>
      <c r="W44" s="269">
        <f t="shared" si="48"/>
        <v>0</v>
      </c>
      <c r="X44" s="269">
        <f t="shared" si="48"/>
        <v>0</v>
      </c>
      <c r="Y44" s="269">
        <f t="shared" si="48"/>
        <v>0</v>
      </c>
      <c r="Z44" s="269"/>
      <c r="AA44" s="269">
        <f t="shared" si="48"/>
        <v>0</v>
      </c>
      <c r="AB44" s="269">
        <f t="shared" si="48"/>
        <v>0</v>
      </c>
      <c r="AC44" s="269">
        <f t="shared" si="48"/>
        <v>0</v>
      </c>
      <c r="AD44" s="269">
        <f t="shared" si="48"/>
        <v>0</v>
      </c>
      <c r="AE44" s="269">
        <f t="shared" si="48"/>
        <v>0</v>
      </c>
      <c r="AF44" s="269">
        <f t="shared" si="48"/>
        <v>0</v>
      </c>
      <c r="AG44" s="269"/>
      <c r="AH44" s="269">
        <f t="shared" si="48"/>
        <v>0</v>
      </c>
      <c r="AI44" s="269">
        <f t="shared" si="48"/>
        <v>0</v>
      </c>
      <c r="AJ44" s="269">
        <f t="shared" si="48"/>
        <v>0</v>
      </c>
      <c r="AK44" s="269">
        <f t="shared" si="48"/>
        <v>0</v>
      </c>
      <c r="AL44" s="269">
        <f t="shared" si="48"/>
        <v>0</v>
      </c>
      <c r="AM44" s="269">
        <f t="shared" si="48"/>
        <v>0</v>
      </c>
      <c r="AN44" s="269"/>
      <c r="AO44" s="269">
        <f t="shared" si="48"/>
        <v>0</v>
      </c>
      <c r="AP44" s="269">
        <f t="shared" si="48"/>
        <v>0</v>
      </c>
      <c r="AQ44" s="269">
        <f t="shared" si="48"/>
        <v>204</v>
      </c>
      <c r="AR44" s="269">
        <f t="shared" si="48"/>
        <v>16</v>
      </c>
      <c r="AS44" s="269">
        <f t="shared" si="48"/>
        <v>0</v>
      </c>
      <c r="AT44" s="269">
        <f t="shared" si="48"/>
        <v>0</v>
      </c>
      <c r="AU44" s="269"/>
      <c r="AV44" s="269">
        <f t="shared" si="48"/>
        <v>0</v>
      </c>
      <c r="AW44" s="269">
        <f t="shared" si="48"/>
        <v>188</v>
      </c>
      <c r="AX44" s="269">
        <f t="shared" si="48"/>
        <v>0</v>
      </c>
      <c r="AY44" s="269">
        <f t="shared" si="48"/>
        <v>0</v>
      </c>
      <c r="AZ44" s="269">
        <f t="shared" si="48"/>
        <v>0</v>
      </c>
      <c r="BA44" s="269">
        <f t="shared" si="48"/>
        <v>0</v>
      </c>
      <c r="BB44" s="269">
        <f t="shared" si="48"/>
        <v>0</v>
      </c>
      <c r="BC44" s="269"/>
      <c r="BD44" s="269">
        <f t="shared" si="48"/>
        <v>0</v>
      </c>
      <c r="BE44" s="269">
        <f t="shared" si="48"/>
        <v>0</v>
      </c>
      <c r="BF44" s="269">
        <f t="shared" si="48"/>
        <v>0</v>
      </c>
      <c r="BG44" s="272" t="str">
        <f>'Учебный план (очная)'!CP62</f>
        <v>64-7</v>
      </c>
      <c r="BH44" s="268"/>
      <c r="BI44" s="167"/>
    </row>
    <row r="45" spans="1:60" s="166" customFormat="1" ht="25.5" customHeight="1">
      <c r="A45" s="265">
        <f>'Учебный план (очная)'!A63</f>
        <v>0</v>
      </c>
      <c r="B45" s="265" t="str">
        <f>'Учебный план (очная)'!B63</f>
        <v>Оператор диспетчерской (производственно-диспетчерской службы)</v>
      </c>
      <c r="C45" s="198"/>
      <c r="D45" s="249"/>
      <c r="E45" s="249" t="s">
        <v>38</v>
      </c>
      <c r="F45" s="249"/>
      <c r="G45" s="249"/>
      <c r="H45" s="249"/>
      <c r="I45" s="326"/>
      <c r="J45" s="188">
        <f>L45-N45</f>
        <v>0</v>
      </c>
      <c r="K45" s="249">
        <f>M45*$K$1</f>
        <v>40.8</v>
      </c>
      <c r="L45" s="188">
        <f>'Учебный план (очная)'!N63</f>
        <v>204</v>
      </c>
      <c r="M45" s="188">
        <f>'Учебный план (очная)'!O63</f>
        <v>136</v>
      </c>
      <c r="N45" s="250">
        <f>SUM(O45+U45)</f>
        <v>204</v>
      </c>
      <c r="O45" s="250">
        <f>SUM(P45:T45)</f>
        <v>16</v>
      </c>
      <c r="P45" s="250">
        <f>W45+AD45+AK45+AR45+AZ45</f>
        <v>16</v>
      </c>
      <c r="Q45" s="250">
        <f>X45+AE45+AL45+AS45+BA45</f>
        <v>0</v>
      </c>
      <c r="R45" s="250">
        <f>Y45+AF45+AM45+AT45+BB45</f>
        <v>0</v>
      </c>
      <c r="S45" s="250"/>
      <c r="T45" s="250">
        <f>AA45+AH45+AO45+AV45+BD45</f>
        <v>0</v>
      </c>
      <c r="U45" s="250">
        <f>AB45+AI45+AP45+AW45+BF45</f>
        <v>188</v>
      </c>
      <c r="V45" s="251">
        <f>SUM(W45:AB45)</f>
        <v>0</v>
      </c>
      <c r="W45" s="188"/>
      <c r="X45" s="188"/>
      <c r="Y45" s="188"/>
      <c r="Z45" s="188"/>
      <c r="AA45" s="188"/>
      <c r="AB45" s="188"/>
      <c r="AC45" s="251">
        <f>SUM(AD45:AI45)</f>
        <v>0</v>
      </c>
      <c r="AD45" s="188"/>
      <c r="AE45" s="188"/>
      <c r="AF45" s="188"/>
      <c r="AG45" s="188"/>
      <c r="AH45" s="188"/>
      <c r="AI45" s="188"/>
      <c r="AJ45" s="251">
        <f>SUM(AK45:AP45)</f>
        <v>0</v>
      </c>
      <c r="AK45" s="188"/>
      <c r="AL45" s="188"/>
      <c r="AM45" s="188"/>
      <c r="AN45" s="188"/>
      <c r="AO45" s="188"/>
      <c r="AP45" s="188"/>
      <c r="AQ45" s="251">
        <f>SUM(AR45:AW45)</f>
        <v>204</v>
      </c>
      <c r="AR45" s="256">
        <v>16</v>
      </c>
      <c r="AS45" s="256"/>
      <c r="AT45" s="256"/>
      <c r="AU45" s="256"/>
      <c r="AV45" s="256"/>
      <c r="AW45" s="256">
        <v>188</v>
      </c>
      <c r="AX45" s="251">
        <f>SUM(AY45:BF45)</f>
        <v>0</v>
      </c>
      <c r="AY45" s="188"/>
      <c r="AZ45" s="188"/>
      <c r="BA45" s="188"/>
      <c r="BB45" s="188"/>
      <c r="BC45" s="188"/>
      <c r="BD45" s="188"/>
      <c r="BE45" s="188"/>
      <c r="BF45" s="188"/>
      <c r="BG45" s="249" t="str">
        <f>'Учебный план (очная)'!CP63</f>
        <v>64-7</v>
      </c>
      <c r="BH45" s="460" t="str">
        <f>'Учебный план (очная)'!CQ63</f>
        <v>ОК 1-9, ПК 1.1,2.2,3.3</v>
      </c>
    </row>
    <row r="46" spans="1:60" s="166" customFormat="1" ht="25.5" customHeight="1">
      <c r="A46" s="305" t="s">
        <v>340</v>
      </c>
      <c r="B46" s="306"/>
      <c r="C46" s="306"/>
      <c r="D46" s="325" t="s">
        <v>38</v>
      </c>
      <c r="E46" s="301"/>
      <c r="F46" s="301"/>
      <c r="G46" s="301"/>
      <c r="H46" s="301"/>
      <c r="I46" s="301"/>
      <c r="J46" s="302"/>
      <c r="K46" s="301"/>
      <c r="L46" s="192">
        <f>'Учебный план (очная)'!N64</f>
        <v>0</v>
      </c>
      <c r="M46" s="192">
        <f>'Учебный план (очная)'!O64</f>
        <v>0</v>
      </c>
      <c r="N46" s="303"/>
      <c r="O46" s="303"/>
      <c r="P46" s="303"/>
      <c r="Q46" s="303"/>
      <c r="R46" s="303"/>
      <c r="S46" s="303"/>
      <c r="T46" s="303"/>
      <c r="U46" s="303"/>
      <c r="V46" s="303"/>
      <c r="W46" s="192"/>
      <c r="X46" s="192"/>
      <c r="Y46" s="192"/>
      <c r="Z46" s="192"/>
      <c r="AA46" s="192"/>
      <c r="AB46" s="192"/>
      <c r="AC46" s="303"/>
      <c r="AD46" s="192"/>
      <c r="AE46" s="192"/>
      <c r="AF46" s="192"/>
      <c r="AG46" s="192"/>
      <c r="AH46" s="192"/>
      <c r="AI46" s="192"/>
      <c r="AJ46" s="303"/>
      <c r="AK46" s="192"/>
      <c r="AL46" s="192"/>
      <c r="AM46" s="192"/>
      <c r="AN46" s="192"/>
      <c r="AO46" s="192"/>
      <c r="AP46" s="192"/>
      <c r="AQ46" s="303"/>
      <c r="AR46" s="192"/>
      <c r="AS46" s="192"/>
      <c r="AT46" s="192"/>
      <c r="AU46" s="192"/>
      <c r="AV46" s="192"/>
      <c r="AW46" s="192"/>
      <c r="AX46" s="303"/>
      <c r="AY46" s="192"/>
      <c r="AZ46" s="192"/>
      <c r="BA46" s="192"/>
      <c r="BB46" s="192"/>
      <c r="BC46" s="192"/>
      <c r="BD46" s="192"/>
      <c r="BE46" s="192"/>
      <c r="BF46" s="192"/>
      <c r="BG46" s="301">
        <f>'Учебный план (очная)'!CP64</f>
        <v>0</v>
      </c>
      <c r="BH46" s="464">
        <f>'Учебный план (очная)'!CQ64</f>
        <v>0</v>
      </c>
    </row>
    <row r="47" spans="1:60" s="168" customFormat="1" ht="25.5" customHeight="1">
      <c r="A47" s="308" t="s">
        <v>375</v>
      </c>
      <c r="B47" s="669" t="s">
        <v>376</v>
      </c>
      <c r="C47" s="670"/>
      <c r="D47" s="670"/>
      <c r="E47" s="670"/>
      <c r="F47" s="670"/>
      <c r="G47" s="670"/>
      <c r="H47" s="670"/>
      <c r="I47" s="671"/>
      <c r="J47" s="297"/>
      <c r="K47" s="290"/>
      <c r="L47" s="286">
        <f>'Учебный план (очная)'!N65</f>
        <v>602</v>
      </c>
      <c r="M47" s="286">
        <f>'Учебный план (очная)'!O65</f>
        <v>402</v>
      </c>
      <c r="N47" s="286">
        <f aca="true" t="shared" si="49" ref="N47:U47">SUM(N48:N54)</f>
        <v>602</v>
      </c>
      <c r="O47" s="286">
        <f t="shared" si="49"/>
        <v>118</v>
      </c>
      <c r="P47" s="286">
        <f t="shared" si="49"/>
        <v>98</v>
      </c>
      <c r="Q47" s="286">
        <f t="shared" si="49"/>
        <v>0</v>
      </c>
      <c r="R47" s="286">
        <f t="shared" si="49"/>
        <v>20</v>
      </c>
      <c r="S47" s="286"/>
      <c r="T47" s="286">
        <f t="shared" si="49"/>
        <v>0</v>
      </c>
      <c r="U47" s="286">
        <f t="shared" si="49"/>
        <v>484</v>
      </c>
      <c r="V47" s="286">
        <f aca="true" t="shared" si="50" ref="V47:AW47">SUM(V48:V54)</f>
        <v>0</v>
      </c>
      <c r="W47" s="286">
        <f t="shared" si="50"/>
        <v>0</v>
      </c>
      <c r="X47" s="286">
        <f t="shared" si="50"/>
        <v>0</v>
      </c>
      <c r="Y47" s="286">
        <f t="shared" si="50"/>
        <v>0</v>
      </c>
      <c r="Z47" s="286"/>
      <c r="AA47" s="286">
        <f t="shared" si="50"/>
        <v>0</v>
      </c>
      <c r="AB47" s="286">
        <f t="shared" si="50"/>
        <v>0</v>
      </c>
      <c r="AC47" s="286">
        <f t="shared" si="50"/>
        <v>177</v>
      </c>
      <c r="AD47" s="286">
        <f t="shared" si="50"/>
        <v>28</v>
      </c>
      <c r="AE47" s="286">
        <f t="shared" si="50"/>
        <v>0</v>
      </c>
      <c r="AF47" s="286">
        <f t="shared" si="50"/>
        <v>0</v>
      </c>
      <c r="AG47" s="286"/>
      <c r="AH47" s="286">
        <f t="shared" si="50"/>
        <v>0</v>
      </c>
      <c r="AI47" s="286">
        <f t="shared" si="50"/>
        <v>149</v>
      </c>
      <c r="AJ47" s="286">
        <f t="shared" si="50"/>
        <v>279</v>
      </c>
      <c r="AK47" s="286">
        <f t="shared" si="50"/>
        <v>58</v>
      </c>
      <c r="AL47" s="286">
        <f t="shared" si="50"/>
        <v>0</v>
      </c>
      <c r="AM47" s="286">
        <f t="shared" si="50"/>
        <v>0</v>
      </c>
      <c r="AN47" s="286"/>
      <c r="AO47" s="286">
        <f t="shared" si="50"/>
        <v>0</v>
      </c>
      <c r="AP47" s="286">
        <f t="shared" si="50"/>
        <v>293</v>
      </c>
      <c r="AQ47" s="286">
        <f t="shared" si="50"/>
        <v>74</v>
      </c>
      <c r="AR47" s="286">
        <f t="shared" si="50"/>
        <v>12</v>
      </c>
      <c r="AS47" s="286">
        <f t="shared" si="50"/>
        <v>0</v>
      </c>
      <c r="AT47" s="286">
        <f t="shared" si="50"/>
        <v>20</v>
      </c>
      <c r="AU47" s="286"/>
      <c r="AV47" s="286">
        <f t="shared" si="50"/>
        <v>0</v>
      </c>
      <c r="AW47" s="286">
        <f t="shared" si="50"/>
        <v>42</v>
      </c>
      <c r="AX47" s="286">
        <f aca="true" t="shared" si="51" ref="AX47:BF47">SUM(AX48:AX53)</f>
        <v>0</v>
      </c>
      <c r="AY47" s="286">
        <f t="shared" si="51"/>
        <v>0</v>
      </c>
      <c r="AZ47" s="286">
        <f t="shared" si="51"/>
        <v>0</v>
      </c>
      <c r="BA47" s="286">
        <f t="shared" si="51"/>
        <v>0</v>
      </c>
      <c r="BB47" s="286">
        <f t="shared" si="51"/>
        <v>0</v>
      </c>
      <c r="BC47" s="286"/>
      <c r="BD47" s="286">
        <f t="shared" si="51"/>
        <v>0</v>
      </c>
      <c r="BE47" s="286">
        <f t="shared" si="51"/>
        <v>0</v>
      </c>
      <c r="BF47" s="286">
        <f t="shared" si="51"/>
        <v>0</v>
      </c>
      <c r="BG47" s="299">
        <f>'Учебный план (очная)'!CP65</f>
        <v>0</v>
      </c>
      <c r="BH47" s="465">
        <f>'Учебный план (очная)'!CQ65</f>
        <v>0</v>
      </c>
    </row>
    <row r="48" spans="1:60" s="166" customFormat="1" ht="25.5" customHeight="1" hidden="1">
      <c r="A48" s="271" t="e">
        <f>'Учебный план (очная)'!#REF!</f>
        <v>#REF!</v>
      </c>
      <c r="B48" s="271" t="e">
        <f>'Учебный план (очная)'!#REF!</f>
        <v>#REF!</v>
      </c>
      <c r="C48" s="198"/>
      <c r="D48" s="249"/>
      <c r="E48" s="249" t="s">
        <v>26</v>
      </c>
      <c r="F48" s="249"/>
      <c r="G48" s="249"/>
      <c r="H48" s="249"/>
      <c r="I48" s="255"/>
      <c r="J48" s="188" t="e">
        <f aca="true" t="shared" si="52" ref="J48:J53">L48-N48</f>
        <v>#REF!</v>
      </c>
      <c r="K48" s="249" t="e">
        <f aca="true" t="shared" si="53" ref="K48:K53">M48*$K$1</f>
        <v>#REF!</v>
      </c>
      <c r="L48" s="188" t="e">
        <f>'Учебный план (очная)'!#REF!</f>
        <v>#REF!</v>
      </c>
      <c r="M48" s="188" t="e">
        <f>'Учебный план (очная)'!#REF!</f>
        <v>#REF!</v>
      </c>
      <c r="N48" s="441">
        <f>SUM(O48+U48)</f>
        <v>0</v>
      </c>
      <c r="O48" s="250">
        <f aca="true" t="shared" si="54" ref="O48:O54">SUM(P48:T48)</f>
        <v>0</v>
      </c>
      <c r="P48" s="250">
        <f aca="true" t="shared" si="55" ref="P48:P55">W48+AD48+AK48+AR48+AZ48</f>
        <v>0</v>
      </c>
      <c r="Q48" s="250">
        <f aca="true" t="shared" si="56" ref="Q48:Q55">X48+AE48+AL48+AS48+BA48</f>
        <v>0</v>
      </c>
      <c r="R48" s="250">
        <f aca="true" t="shared" si="57" ref="R48:R55">Y48+AF48+AM48+AT48+BB48</f>
        <v>0</v>
      </c>
      <c r="S48" s="250"/>
      <c r="T48" s="250">
        <f aca="true" t="shared" si="58" ref="T48:T55">AA48+AH48+AO48+AV48+BD48</f>
        <v>0</v>
      </c>
      <c r="U48" s="250">
        <f aca="true" t="shared" si="59" ref="U48:U55">AB48+AI48+AP48+AW48+BF48</f>
        <v>0</v>
      </c>
      <c r="V48" s="251">
        <f>SUM(W48:AB48)</f>
        <v>0</v>
      </c>
      <c r="W48" s="440"/>
      <c r="X48" s="188"/>
      <c r="Y48" s="188"/>
      <c r="Z48" s="188"/>
      <c r="AA48" s="188"/>
      <c r="AB48" s="440"/>
      <c r="AC48" s="251">
        <f>SUM(AD48:AI48)</f>
        <v>0</v>
      </c>
      <c r="AD48" s="188"/>
      <c r="AE48" s="188"/>
      <c r="AF48" s="188"/>
      <c r="AG48" s="188"/>
      <c r="AH48" s="188"/>
      <c r="AI48" s="188"/>
      <c r="AJ48" s="251">
        <f>SUM(AK48:AP48)</f>
        <v>0</v>
      </c>
      <c r="AK48" s="188"/>
      <c r="AL48" s="188"/>
      <c r="AM48" s="188"/>
      <c r="AN48" s="188"/>
      <c r="AO48" s="188"/>
      <c r="AP48" s="188"/>
      <c r="AQ48" s="251">
        <f>SUM(AR48:AW48)</f>
        <v>0</v>
      </c>
      <c r="AR48" s="188"/>
      <c r="AS48" s="188"/>
      <c r="AT48" s="188"/>
      <c r="AU48" s="188"/>
      <c r="AV48" s="188"/>
      <c r="AW48" s="188"/>
      <c r="AX48" s="251">
        <f>SUM(AY48:BF48)</f>
        <v>0</v>
      </c>
      <c r="AY48" s="188"/>
      <c r="AZ48" s="188"/>
      <c r="BA48" s="188"/>
      <c r="BB48" s="188"/>
      <c r="BC48" s="188"/>
      <c r="BD48" s="188"/>
      <c r="BE48" s="188"/>
      <c r="BF48" s="188"/>
      <c r="BG48" s="249" t="e">
        <f>'Учебный план (очная)'!#REF!</f>
        <v>#REF!</v>
      </c>
      <c r="BH48" s="466" t="s">
        <v>474</v>
      </c>
    </row>
    <row r="49" spans="1:60" s="183" customFormat="1" ht="25.5" customHeight="1">
      <c r="A49" s="271" t="str">
        <f>'Учебный план (очная)'!A66</f>
        <v>ВЧ.01</v>
      </c>
      <c r="B49" s="271" t="str">
        <f>'Учебный план (очная)'!B66</f>
        <v>Основы делопроизводства</v>
      </c>
      <c r="C49" s="309"/>
      <c r="D49" s="266"/>
      <c r="E49" s="266" t="s">
        <v>29</v>
      </c>
      <c r="F49" s="266"/>
      <c r="G49" s="266"/>
      <c r="H49" s="266"/>
      <c r="I49" s="249"/>
      <c r="J49" s="188">
        <f t="shared" si="52"/>
        <v>0</v>
      </c>
      <c r="K49" s="249">
        <f t="shared" si="53"/>
        <v>14.4</v>
      </c>
      <c r="L49" s="188">
        <f>'Учебный план (очная)'!N66</f>
        <v>72</v>
      </c>
      <c r="M49" s="188">
        <f>'Учебный план (очная)'!O66</f>
        <v>48</v>
      </c>
      <c r="N49" s="250">
        <f aca="true" t="shared" si="60" ref="N49:N54">SUM(O49+U49)</f>
        <v>72</v>
      </c>
      <c r="O49" s="250">
        <f t="shared" si="54"/>
        <v>12</v>
      </c>
      <c r="P49" s="250">
        <f t="shared" si="55"/>
        <v>12</v>
      </c>
      <c r="Q49" s="250">
        <f t="shared" si="56"/>
        <v>0</v>
      </c>
      <c r="R49" s="250">
        <f t="shared" si="57"/>
        <v>0</v>
      </c>
      <c r="S49" s="250"/>
      <c r="T49" s="250">
        <f t="shared" si="58"/>
        <v>0</v>
      </c>
      <c r="U49" s="250">
        <f t="shared" si="59"/>
        <v>60</v>
      </c>
      <c r="V49" s="251">
        <f>SUM(W49:AB49)</f>
        <v>0</v>
      </c>
      <c r="W49" s="188"/>
      <c r="X49" s="188"/>
      <c r="Y49" s="188"/>
      <c r="Z49" s="188"/>
      <c r="AA49" s="188"/>
      <c r="AB49" s="188"/>
      <c r="AC49" s="251">
        <f>SUM(AD49:AI49)</f>
        <v>72</v>
      </c>
      <c r="AD49" s="188">
        <v>12</v>
      </c>
      <c r="AE49" s="188"/>
      <c r="AF49" s="188"/>
      <c r="AG49" s="188"/>
      <c r="AH49" s="188"/>
      <c r="AI49" s="188">
        <v>60</v>
      </c>
      <c r="AJ49" s="251">
        <f>SUM(AK49:AP49)</f>
        <v>0</v>
      </c>
      <c r="AK49" s="188"/>
      <c r="AL49" s="188"/>
      <c r="AM49" s="188"/>
      <c r="AN49" s="188"/>
      <c r="AO49" s="188"/>
      <c r="AP49" s="188"/>
      <c r="AQ49" s="251">
        <f>SUM(AR49:AW49)</f>
        <v>0</v>
      </c>
      <c r="AR49" s="188"/>
      <c r="AS49" s="188"/>
      <c r="AT49" s="188"/>
      <c r="AU49" s="188"/>
      <c r="AV49" s="188"/>
      <c r="AW49" s="188"/>
      <c r="AX49" s="251">
        <f>SUM(AY49:BF49)</f>
        <v>0</v>
      </c>
      <c r="AY49" s="188"/>
      <c r="AZ49" s="188"/>
      <c r="BA49" s="188"/>
      <c r="BB49" s="188"/>
      <c r="BC49" s="188"/>
      <c r="BD49" s="188"/>
      <c r="BE49" s="188"/>
      <c r="BF49" s="188"/>
      <c r="BG49" s="266" t="str">
        <f>'Учебный план (очная)'!CP66</f>
        <v>64-7</v>
      </c>
      <c r="BH49" s="460" t="str">
        <f>'Учебный план (очная)'!CQ66</f>
        <v>ОК 2,3, ПК 3.1</v>
      </c>
    </row>
    <row r="50" spans="1:60" s="183" customFormat="1" ht="25.5" customHeight="1">
      <c r="A50" s="271" t="str">
        <f>'Учебный план (очная)'!A67</f>
        <v>ВЧ.02</v>
      </c>
      <c r="B50" s="271" t="str">
        <f>'Учебный план (очная)'!B67</f>
        <v>Организация доступной среды для инвалидов на транспорте</v>
      </c>
      <c r="C50" s="309"/>
      <c r="D50" s="266"/>
      <c r="E50" s="266" t="s">
        <v>28</v>
      </c>
      <c r="F50" s="266"/>
      <c r="G50" s="266"/>
      <c r="H50" s="266"/>
      <c r="I50" s="249"/>
      <c r="J50" s="188">
        <f>L50-N50</f>
        <v>0</v>
      </c>
      <c r="K50" s="249">
        <f>M50*$K$1</f>
        <v>14.4</v>
      </c>
      <c r="L50" s="188">
        <f>'Учебный план (очная)'!N67</f>
        <v>72</v>
      </c>
      <c r="M50" s="188">
        <f>'Учебный план (очная)'!O67</f>
        <v>48</v>
      </c>
      <c r="N50" s="250">
        <f t="shared" si="60"/>
        <v>72</v>
      </c>
      <c r="O50" s="250">
        <f t="shared" si="54"/>
        <v>12</v>
      </c>
      <c r="P50" s="250">
        <f t="shared" si="55"/>
        <v>12</v>
      </c>
      <c r="Q50" s="250">
        <f t="shared" si="56"/>
        <v>0</v>
      </c>
      <c r="R50" s="250">
        <f t="shared" si="57"/>
        <v>0</v>
      </c>
      <c r="S50" s="250"/>
      <c r="T50" s="250">
        <f t="shared" si="58"/>
        <v>0</v>
      </c>
      <c r="U50" s="250">
        <f t="shared" si="59"/>
        <v>60</v>
      </c>
      <c r="V50" s="251"/>
      <c r="W50" s="188"/>
      <c r="X50" s="188"/>
      <c r="Y50" s="188"/>
      <c r="Z50" s="188"/>
      <c r="AA50" s="188"/>
      <c r="AB50" s="188"/>
      <c r="AC50" s="251"/>
      <c r="AD50" s="188"/>
      <c r="AE50" s="188"/>
      <c r="AF50" s="188"/>
      <c r="AG50" s="188"/>
      <c r="AH50" s="188"/>
      <c r="AI50" s="188"/>
      <c r="AJ50" s="251"/>
      <c r="AK50" s="188">
        <v>12</v>
      </c>
      <c r="AL50" s="188"/>
      <c r="AM50" s="188"/>
      <c r="AN50" s="188"/>
      <c r="AO50" s="188"/>
      <c r="AP50" s="188">
        <v>60</v>
      </c>
      <c r="AQ50" s="251"/>
      <c r="AR50" s="188"/>
      <c r="AS50" s="188"/>
      <c r="AT50" s="188"/>
      <c r="AU50" s="188"/>
      <c r="AV50" s="188"/>
      <c r="AW50" s="188"/>
      <c r="AX50" s="251"/>
      <c r="AY50" s="188"/>
      <c r="AZ50" s="188"/>
      <c r="BA50" s="188"/>
      <c r="BB50" s="188"/>
      <c r="BC50" s="188"/>
      <c r="BD50" s="188"/>
      <c r="BE50" s="188"/>
      <c r="BF50" s="188"/>
      <c r="BG50" s="266" t="str">
        <f>'Учебный план (очная)'!CP67</f>
        <v>64-7</v>
      </c>
      <c r="BH50" s="460" t="str">
        <f>'Учебный план (очная)'!CQ67</f>
        <v>ОК 1-9, ПК 2.1-2.3, ПК 3.3</v>
      </c>
    </row>
    <row r="51" spans="1:60" s="183" customFormat="1" ht="25.5" customHeight="1">
      <c r="A51" s="271" t="str">
        <f>'Учебный план (очная)'!A68</f>
        <v>ВЧ.03</v>
      </c>
      <c r="B51" s="271" t="str">
        <f>'Учебный план (очная)'!B68</f>
        <v>Коммерческая работа на транспорте</v>
      </c>
      <c r="C51" s="309"/>
      <c r="D51" s="266"/>
      <c r="E51" s="266" t="s">
        <v>28</v>
      </c>
      <c r="F51" s="266"/>
      <c r="G51" s="266"/>
      <c r="H51" s="266"/>
      <c r="I51" s="266"/>
      <c r="J51" s="188">
        <f t="shared" si="52"/>
        <v>0</v>
      </c>
      <c r="K51" s="249">
        <f t="shared" si="53"/>
        <v>14.4</v>
      </c>
      <c r="L51" s="188">
        <f>'Учебный план (очная)'!N68</f>
        <v>72</v>
      </c>
      <c r="M51" s="188">
        <f>'Учебный план (очная)'!O68</f>
        <v>48</v>
      </c>
      <c r="N51" s="250">
        <f t="shared" si="60"/>
        <v>72</v>
      </c>
      <c r="O51" s="250">
        <f t="shared" si="54"/>
        <v>12</v>
      </c>
      <c r="P51" s="250">
        <f t="shared" si="55"/>
        <v>12</v>
      </c>
      <c r="Q51" s="250">
        <f t="shared" si="56"/>
        <v>0</v>
      </c>
      <c r="R51" s="250">
        <f t="shared" si="57"/>
        <v>0</v>
      </c>
      <c r="S51" s="250"/>
      <c r="T51" s="250">
        <f t="shared" si="58"/>
        <v>0</v>
      </c>
      <c r="U51" s="250">
        <f t="shared" si="59"/>
        <v>60</v>
      </c>
      <c r="V51" s="251">
        <f>SUM(W51:AB51)</f>
        <v>0</v>
      </c>
      <c r="W51" s="188"/>
      <c r="X51" s="188"/>
      <c r="Y51" s="188"/>
      <c r="Z51" s="188"/>
      <c r="AA51" s="188"/>
      <c r="AB51" s="188"/>
      <c r="AC51" s="251">
        <f>SUM(AD51:AI51)</f>
        <v>0</v>
      </c>
      <c r="AD51" s="188"/>
      <c r="AE51" s="188"/>
      <c r="AF51" s="188"/>
      <c r="AG51" s="188"/>
      <c r="AH51" s="188"/>
      <c r="AI51" s="188"/>
      <c r="AJ51" s="251">
        <f>SUM(AK51:AP51)</f>
        <v>72</v>
      </c>
      <c r="AK51" s="188">
        <v>12</v>
      </c>
      <c r="AL51" s="188"/>
      <c r="AM51" s="188"/>
      <c r="AN51" s="188"/>
      <c r="AO51" s="188"/>
      <c r="AP51" s="188">
        <v>60</v>
      </c>
      <c r="AQ51" s="251">
        <f>SUM(AR51:AW51)</f>
        <v>0</v>
      </c>
      <c r="AR51" s="188"/>
      <c r="AS51" s="188"/>
      <c r="AT51" s="188"/>
      <c r="AU51" s="188"/>
      <c r="AV51" s="188"/>
      <c r="AW51" s="188"/>
      <c r="AX51" s="251">
        <f>SUM(AY51:BF51)</f>
        <v>0</v>
      </c>
      <c r="AY51" s="188"/>
      <c r="AZ51" s="188"/>
      <c r="BA51" s="188"/>
      <c r="BB51" s="188"/>
      <c r="BC51" s="188"/>
      <c r="BD51" s="188"/>
      <c r="BE51" s="188"/>
      <c r="BF51" s="188"/>
      <c r="BG51" s="266" t="str">
        <f>'Учебный план (очная)'!CP68</f>
        <v>64-7</v>
      </c>
      <c r="BH51" s="460" t="str">
        <f>'Учебный план (очная)'!CQ68</f>
        <v>ОК 1-9, ПК 3.1-3.3</v>
      </c>
    </row>
    <row r="52" spans="1:60" s="183" customFormat="1" ht="25.5" customHeight="1">
      <c r="A52" s="271" t="str">
        <f>'Учебный план (очная)'!A69</f>
        <v>ВЧ.04</v>
      </c>
      <c r="B52" s="271" t="str">
        <f>'Учебный план (очная)'!B69</f>
        <v>Страхование и риски</v>
      </c>
      <c r="C52" s="309"/>
      <c r="D52" s="266"/>
      <c r="E52" s="266" t="s">
        <v>28</v>
      </c>
      <c r="F52" s="266"/>
      <c r="G52" s="266"/>
      <c r="H52" s="266"/>
      <c r="I52" s="327"/>
      <c r="J52" s="188">
        <f t="shared" si="52"/>
        <v>0</v>
      </c>
      <c r="K52" s="249">
        <f t="shared" si="53"/>
        <v>26.7</v>
      </c>
      <c r="L52" s="256">
        <f>'Учебный план (очная)'!N69</f>
        <v>133</v>
      </c>
      <c r="M52" s="188">
        <f>'Учебный план (очная)'!O69</f>
        <v>89</v>
      </c>
      <c r="N52" s="442">
        <f t="shared" si="60"/>
        <v>133</v>
      </c>
      <c r="O52" s="250">
        <f t="shared" si="54"/>
        <v>22</v>
      </c>
      <c r="P52" s="250">
        <f t="shared" si="55"/>
        <v>22</v>
      </c>
      <c r="Q52" s="250">
        <f t="shared" si="56"/>
        <v>0</v>
      </c>
      <c r="R52" s="250">
        <f t="shared" si="57"/>
        <v>0</v>
      </c>
      <c r="S52" s="250"/>
      <c r="T52" s="250">
        <f t="shared" si="58"/>
        <v>0</v>
      </c>
      <c r="U52" s="250">
        <f t="shared" si="59"/>
        <v>111</v>
      </c>
      <c r="V52" s="251">
        <f>SUM(W52:AB52)</f>
        <v>0</v>
      </c>
      <c r="W52" s="188"/>
      <c r="X52" s="188"/>
      <c r="Y52" s="188"/>
      <c r="Z52" s="188"/>
      <c r="AA52" s="188"/>
      <c r="AB52" s="188"/>
      <c r="AC52" s="251">
        <f>SUM(AD52:AI52)</f>
        <v>0</v>
      </c>
      <c r="AD52" s="188"/>
      <c r="AE52" s="188"/>
      <c r="AF52" s="188"/>
      <c r="AG52" s="188"/>
      <c r="AH52" s="188"/>
      <c r="AI52" s="188"/>
      <c r="AJ52" s="251">
        <f>SUM(AK52:AP52)</f>
        <v>133</v>
      </c>
      <c r="AK52" s="256">
        <v>22</v>
      </c>
      <c r="AL52" s="256"/>
      <c r="AM52" s="256"/>
      <c r="AN52" s="256"/>
      <c r="AO52" s="256"/>
      <c r="AP52" s="256">
        <v>111</v>
      </c>
      <c r="AQ52" s="251">
        <f>SUM(AR52:AW52)</f>
        <v>0</v>
      </c>
      <c r="AR52" s="188"/>
      <c r="AS52" s="188"/>
      <c r="AT52" s="188"/>
      <c r="AU52" s="188"/>
      <c r="AV52" s="188"/>
      <c r="AW52" s="188"/>
      <c r="AX52" s="251">
        <f>SUM(AY52:BF52)</f>
        <v>0</v>
      </c>
      <c r="AY52" s="188"/>
      <c r="AZ52" s="188"/>
      <c r="BA52" s="188"/>
      <c r="BB52" s="188"/>
      <c r="BC52" s="188"/>
      <c r="BD52" s="188"/>
      <c r="BE52" s="188"/>
      <c r="BF52" s="188"/>
      <c r="BG52" s="266" t="str">
        <f>'Учебный план (очная)'!CP69</f>
        <v>64-7</v>
      </c>
      <c r="BH52" s="460" t="str">
        <f>'Учебный план (очная)'!CQ69</f>
        <v>ОК 1-9, ПК 3.1-3.3</v>
      </c>
    </row>
    <row r="53" spans="1:60" s="183" customFormat="1" ht="25.5" customHeight="1">
      <c r="A53" s="271" t="str">
        <f>'Учебный план (очная)'!A70</f>
        <v>ВЧ.05</v>
      </c>
      <c r="B53" s="271" t="str">
        <f>'Учебный план (очная)'!B70</f>
        <v>Экономика и управление на водном транспорте</v>
      </c>
      <c r="C53" s="309"/>
      <c r="D53" s="327" t="s">
        <v>38</v>
      </c>
      <c r="E53" s="266"/>
      <c r="F53" s="266"/>
      <c r="G53" s="266"/>
      <c r="H53" s="327" t="s">
        <v>38</v>
      </c>
      <c r="I53" s="326"/>
      <c r="J53" s="188">
        <f t="shared" si="52"/>
        <v>0</v>
      </c>
      <c r="K53" s="249">
        <f t="shared" si="53"/>
        <v>29.7</v>
      </c>
      <c r="L53" s="188">
        <f>'Учебный план (очная)'!N70</f>
        <v>148</v>
      </c>
      <c r="M53" s="188">
        <f>'Учебный план (очная)'!O70</f>
        <v>99</v>
      </c>
      <c r="N53" s="250">
        <f t="shared" si="60"/>
        <v>148</v>
      </c>
      <c r="O53" s="250">
        <f t="shared" si="54"/>
        <v>44</v>
      </c>
      <c r="P53" s="250">
        <f t="shared" si="55"/>
        <v>24</v>
      </c>
      <c r="Q53" s="250">
        <f t="shared" si="56"/>
        <v>0</v>
      </c>
      <c r="R53" s="250">
        <f t="shared" si="57"/>
        <v>20</v>
      </c>
      <c r="S53" s="250"/>
      <c r="T53" s="250">
        <f t="shared" si="58"/>
        <v>0</v>
      </c>
      <c r="U53" s="250">
        <f t="shared" si="59"/>
        <v>104</v>
      </c>
      <c r="V53" s="251">
        <f>SUM(W53:AB53)</f>
        <v>0</v>
      </c>
      <c r="W53" s="188"/>
      <c r="X53" s="188"/>
      <c r="Y53" s="188"/>
      <c r="Z53" s="188"/>
      <c r="AA53" s="188"/>
      <c r="AB53" s="188"/>
      <c r="AC53" s="251">
        <f>SUM(AD53:AI53)</f>
        <v>0</v>
      </c>
      <c r="AD53" s="188"/>
      <c r="AE53" s="188"/>
      <c r="AF53" s="188"/>
      <c r="AG53" s="188"/>
      <c r="AH53" s="188"/>
      <c r="AI53" s="188"/>
      <c r="AJ53" s="251">
        <f>SUM(AK53:AP53)</f>
        <v>74</v>
      </c>
      <c r="AK53" s="188">
        <v>12</v>
      </c>
      <c r="AL53" s="188"/>
      <c r="AM53" s="188"/>
      <c r="AN53" s="188"/>
      <c r="AO53" s="188"/>
      <c r="AP53" s="188">
        <v>62</v>
      </c>
      <c r="AQ53" s="251">
        <f>SUM(AR53:AW53)</f>
        <v>74</v>
      </c>
      <c r="AR53" s="256">
        <v>12</v>
      </c>
      <c r="AS53" s="188"/>
      <c r="AT53" s="256">
        <v>20</v>
      </c>
      <c r="AU53" s="188"/>
      <c r="AV53" s="188"/>
      <c r="AW53" s="256">
        <v>42</v>
      </c>
      <c r="AX53" s="251">
        <f>SUM(AY53:BF53)</f>
        <v>0</v>
      </c>
      <c r="AY53" s="188"/>
      <c r="AZ53" s="188"/>
      <c r="BA53" s="188"/>
      <c r="BB53" s="188"/>
      <c r="BC53" s="188"/>
      <c r="BD53" s="188"/>
      <c r="BE53" s="188"/>
      <c r="BF53" s="188"/>
      <c r="BG53" s="266" t="str">
        <f>'Учебный план (очная)'!CP70</f>
        <v>64-1</v>
      </c>
      <c r="BH53" s="460" t="str">
        <f>'Учебный план (очная)'!CQ70</f>
        <v>ОК 6, ПК 2.1</v>
      </c>
    </row>
    <row r="54" spans="1:60" s="183" customFormat="1" ht="25.5" customHeight="1">
      <c r="A54" s="271" t="str">
        <f>'Учебный план (очная)'!A71</f>
        <v>ВЧ.06</v>
      </c>
      <c r="B54" s="271" t="str">
        <f>'Учебный план (очная)'!B71</f>
        <v>Теория устройства судна</v>
      </c>
      <c r="C54" s="309"/>
      <c r="D54" s="266" t="s">
        <v>29</v>
      </c>
      <c r="E54" s="266"/>
      <c r="F54" s="266"/>
      <c r="G54" s="266"/>
      <c r="H54" s="266"/>
      <c r="I54" s="249"/>
      <c r="J54" s="188">
        <f>L54-N54</f>
        <v>0</v>
      </c>
      <c r="K54" s="249">
        <f>M54*$K$1</f>
        <v>21</v>
      </c>
      <c r="L54" s="188">
        <f>'Учебный план (очная)'!N71</f>
        <v>105</v>
      </c>
      <c r="M54" s="188">
        <f>'Учебный план (очная)'!O71</f>
        <v>70</v>
      </c>
      <c r="N54" s="250">
        <f t="shared" si="60"/>
        <v>105</v>
      </c>
      <c r="O54" s="250">
        <f t="shared" si="54"/>
        <v>16</v>
      </c>
      <c r="P54" s="250">
        <f t="shared" si="55"/>
        <v>16</v>
      </c>
      <c r="Q54" s="250">
        <f t="shared" si="56"/>
        <v>0</v>
      </c>
      <c r="R54" s="250">
        <f t="shared" si="57"/>
        <v>0</v>
      </c>
      <c r="S54" s="250"/>
      <c r="T54" s="250">
        <f t="shared" si="58"/>
        <v>0</v>
      </c>
      <c r="U54" s="250">
        <f t="shared" si="59"/>
        <v>89</v>
      </c>
      <c r="V54" s="251"/>
      <c r="W54" s="188"/>
      <c r="X54" s="188"/>
      <c r="Y54" s="188"/>
      <c r="Z54" s="188"/>
      <c r="AA54" s="188"/>
      <c r="AB54" s="188"/>
      <c r="AC54" s="251">
        <f>SUM(AD54:AI54)</f>
        <v>105</v>
      </c>
      <c r="AD54" s="188">
        <v>16</v>
      </c>
      <c r="AE54" s="188"/>
      <c r="AF54" s="188"/>
      <c r="AG54" s="188"/>
      <c r="AH54" s="188"/>
      <c r="AI54" s="256">
        <v>89</v>
      </c>
      <c r="AJ54" s="251"/>
      <c r="AK54" s="188"/>
      <c r="AL54" s="188"/>
      <c r="AM54" s="188"/>
      <c r="AN54" s="188"/>
      <c r="AO54" s="188"/>
      <c r="AP54" s="188"/>
      <c r="AQ54" s="251"/>
      <c r="AR54" s="256"/>
      <c r="AS54" s="188"/>
      <c r="AT54" s="188"/>
      <c r="AU54" s="188"/>
      <c r="AV54" s="188"/>
      <c r="AW54" s="188"/>
      <c r="AX54" s="251"/>
      <c r="AY54" s="188"/>
      <c r="AZ54" s="188"/>
      <c r="BA54" s="188"/>
      <c r="BB54" s="188"/>
      <c r="BC54" s="188"/>
      <c r="BD54" s="188"/>
      <c r="BE54" s="188"/>
      <c r="BF54" s="188"/>
      <c r="BG54" s="266" t="str">
        <f>'Учебный план (очная)'!CP71</f>
        <v>64-3</v>
      </c>
      <c r="BH54" s="460" t="str">
        <f>'Учебный план (очная)'!CQ71</f>
        <v>ОК 6-8</v>
      </c>
    </row>
    <row r="55" spans="1:60" s="165" customFormat="1" ht="25.5" customHeight="1">
      <c r="A55" s="310" t="s">
        <v>464</v>
      </c>
      <c r="B55" s="311" t="s">
        <v>4</v>
      </c>
      <c r="C55" s="311"/>
      <c r="D55" s="307"/>
      <c r="E55" s="307"/>
      <c r="F55" s="307" t="s">
        <v>29</v>
      </c>
      <c r="G55" s="307"/>
      <c r="H55" s="307"/>
      <c r="I55" s="307"/>
      <c r="J55" s="312"/>
      <c r="K55" s="307"/>
      <c r="L55" s="286">
        <v>144</v>
      </c>
      <c r="M55" s="286"/>
      <c r="N55" s="262">
        <f>T55</f>
        <v>144</v>
      </c>
      <c r="O55" s="262"/>
      <c r="P55" s="262">
        <f t="shared" si="55"/>
        <v>0</v>
      </c>
      <c r="Q55" s="262">
        <f t="shared" si="56"/>
        <v>0</v>
      </c>
      <c r="R55" s="262">
        <f t="shared" si="57"/>
        <v>0</v>
      </c>
      <c r="S55" s="262"/>
      <c r="T55" s="262">
        <f t="shared" si="58"/>
        <v>144</v>
      </c>
      <c r="U55" s="262">
        <f t="shared" si="59"/>
        <v>0</v>
      </c>
      <c r="V55" s="262">
        <f aca="true" t="shared" si="61" ref="V55:AF55">SUM(V57:V58)</f>
        <v>0</v>
      </c>
      <c r="W55" s="262">
        <f t="shared" si="61"/>
        <v>0</v>
      </c>
      <c r="X55" s="262">
        <f t="shared" si="61"/>
        <v>0</v>
      </c>
      <c r="Y55" s="262">
        <f t="shared" si="61"/>
        <v>0</v>
      </c>
      <c r="Z55" s="262"/>
      <c r="AA55" s="262">
        <f t="shared" si="61"/>
        <v>0</v>
      </c>
      <c r="AB55" s="262">
        <f t="shared" si="61"/>
        <v>0</v>
      </c>
      <c r="AC55" s="262">
        <f>SUM(AD55:AI55)</f>
        <v>144</v>
      </c>
      <c r="AD55" s="262">
        <f t="shared" si="61"/>
        <v>0</v>
      </c>
      <c r="AE55" s="262">
        <f t="shared" si="61"/>
        <v>0</v>
      </c>
      <c r="AF55" s="262">
        <f t="shared" si="61"/>
        <v>0</v>
      </c>
      <c r="AG55" s="262"/>
      <c r="AH55" s="262">
        <v>144</v>
      </c>
      <c r="AI55" s="262"/>
      <c r="AJ55" s="262"/>
      <c r="AK55" s="262">
        <f aca="true" t="shared" si="62" ref="AK55:AT55">SUM(AK57:AK58)</f>
        <v>0</v>
      </c>
      <c r="AL55" s="262">
        <f t="shared" si="62"/>
        <v>0</v>
      </c>
      <c r="AM55" s="262">
        <f t="shared" si="62"/>
        <v>0</v>
      </c>
      <c r="AN55" s="262"/>
      <c r="AO55" s="262"/>
      <c r="AP55" s="262"/>
      <c r="AQ55" s="262"/>
      <c r="AR55" s="262">
        <f t="shared" si="62"/>
        <v>0</v>
      </c>
      <c r="AS55" s="262">
        <f t="shared" si="62"/>
        <v>0</v>
      </c>
      <c r="AT55" s="262">
        <f t="shared" si="62"/>
        <v>0</v>
      </c>
      <c r="AU55" s="262"/>
      <c r="AV55" s="262"/>
      <c r="AW55" s="262"/>
      <c r="AX55" s="262">
        <f>SUM(AY55:BF55)</f>
        <v>0</v>
      </c>
      <c r="AY55" s="262">
        <f>AY57</f>
        <v>0</v>
      </c>
      <c r="AZ55" s="262">
        <f aca="true" t="shared" si="63" ref="AZ55:BF56">SUM(AZ57:AZ58)</f>
        <v>0</v>
      </c>
      <c r="BA55" s="262">
        <f t="shared" si="63"/>
        <v>0</v>
      </c>
      <c r="BB55" s="262">
        <f t="shared" si="63"/>
        <v>0</v>
      </c>
      <c r="BC55" s="262"/>
      <c r="BD55" s="262">
        <f t="shared" si="63"/>
        <v>0</v>
      </c>
      <c r="BE55" s="262">
        <f t="shared" si="63"/>
        <v>0</v>
      </c>
      <c r="BF55" s="262">
        <f t="shared" si="63"/>
        <v>0</v>
      </c>
      <c r="BG55" s="299" t="str">
        <f>'Учебный план (очная)'!CP71</f>
        <v>64-3</v>
      </c>
      <c r="BH55" s="465" t="str">
        <f>'Учебный план (очная)'!CQ72</f>
        <v>ОК 1-9, ПК 1.1-1.3; 2.1 - 2.3; 3.1-3.3</v>
      </c>
    </row>
    <row r="56" spans="1:60" s="165" customFormat="1" ht="25.5" customHeight="1">
      <c r="A56" s="310" t="s">
        <v>377</v>
      </c>
      <c r="B56" s="311" t="s">
        <v>100</v>
      </c>
      <c r="C56" s="311"/>
      <c r="D56" s="307"/>
      <c r="E56" s="319" t="s">
        <v>426</v>
      </c>
      <c r="F56" s="307"/>
      <c r="G56" s="307"/>
      <c r="H56" s="307"/>
      <c r="I56" s="307"/>
      <c r="J56" s="312"/>
      <c r="K56" s="307"/>
      <c r="L56" s="286">
        <v>900</v>
      </c>
      <c r="M56" s="286"/>
      <c r="N56" s="262">
        <f>SUM(N57:N58)</f>
        <v>900</v>
      </c>
      <c r="O56" s="262"/>
      <c r="P56" s="262">
        <f>SUM(P57:P58)</f>
        <v>0</v>
      </c>
      <c r="Q56" s="262">
        <f>SUM(Q57:Q58)</f>
        <v>0</v>
      </c>
      <c r="R56" s="262">
        <f>SUM(R57:R58)</f>
        <v>0</v>
      </c>
      <c r="S56" s="262"/>
      <c r="T56" s="262">
        <f>SUM(T57:T58)</f>
        <v>900</v>
      </c>
      <c r="U56" s="262">
        <f>SUM(U57:U58)</f>
        <v>0</v>
      </c>
      <c r="V56" s="262">
        <f aca="true" t="shared" si="64" ref="V56:AV56">SUM(V57:V59)</f>
        <v>0</v>
      </c>
      <c r="W56" s="262">
        <f t="shared" si="64"/>
        <v>0</v>
      </c>
      <c r="X56" s="262">
        <f t="shared" si="64"/>
        <v>0</v>
      </c>
      <c r="Y56" s="262">
        <f t="shared" si="64"/>
        <v>0</v>
      </c>
      <c r="Z56" s="262"/>
      <c r="AA56" s="262">
        <f t="shared" si="64"/>
        <v>0</v>
      </c>
      <c r="AB56" s="262">
        <f t="shared" si="64"/>
        <v>0</v>
      </c>
      <c r="AC56" s="262">
        <f t="shared" si="64"/>
        <v>0</v>
      </c>
      <c r="AD56" s="262">
        <f t="shared" si="64"/>
        <v>0</v>
      </c>
      <c r="AE56" s="262">
        <f t="shared" si="64"/>
        <v>0</v>
      </c>
      <c r="AF56" s="262">
        <f t="shared" si="64"/>
        <v>0</v>
      </c>
      <c r="AG56" s="262"/>
      <c r="AH56" s="262">
        <f t="shared" si="64"/>
        <v>0</v>
      </c>
      <c r="AI56" s="262">
        <f t="shared" si="64"/>
        <v>0</v>
      </c>
      <c r="AJ56" s="262">
        <f t="shared" si="64"/>
        <v>648</v>
      </c>
      <c r="AK56" s="262">
        <f t="shared" si="64"/>
        <v>0</v>
      </c>
      <c r="AL56" s="262">
        <f t="shared" si="64"/>
        <v>0</v>
      </c>
      <c r="AM56" s="262">
        <f t="shared" si="64"/>
        <v>0</v>
      </c>
      <c r="AN56" s="262"/>
      <c r="AO56" s="262">
        <f t="shared" si="64"/>
        <v>648</v>
      </c>
      <c r="AP56" s="262">
        <f t="shared" si="64"/>
        <v>0</v>
      </c>
      <c r="AQ56" s="262">
        <f>SUM(AQ57:AQ58)</f>
        <v>252</v>
      </c>
      <c r="AR56" s="262">
        <f t="shared" si="64"/>
        <v>0</v>
      </c>
      <c r="AS56" s="262">
        <f t="shared" si="64"/>
        <v>0</v>
      </c>
      <c r="AT56" s="262">
        <f t="shared" si="64"/>
        <v>0</v>
      </c>
      <c r="AU56" s="262"/>
      <c r="AV56" s="262">
        <f t="shared" si="64"/>
        <v>252</v>
      </c>
      <c r="AW56" s="262">
        <f>SUM(AW57:BF58)</f>
        <v>0</v>
      </c>
      <c r="AX56" s="262">
        <f>SUM(AY56:BF56)</f>
        <v>0</v>
      </c>
      <c r="AY56" s="262">
        <f>AY58</f>
        <v>0</v>
      </c>
      <c r="AZ56" s="262">
        <f t="shared" si="63"/>
        <v>0</v>
      </c>
      <c r="BA56" s="262">
        <f t="shared" si="63"/>
        <v>0</v>
      </c>
      <c r="BB56" s="262">
        <f t="shared" si="63"/>
        <v>0</v>
      </c>
      <c r="BC56" s="262"/>
      <c r="BD56" s="262">
        <f t="shared" si="63"/>
        <v>0</v>
      </c>
      <c r="BE56" s="262">
        <f t="shared" si="63"/>
        <v>0</v>
      </c>
      <c r="BF56" s="262">
        <f t="shared" si="63"/>
        <v>0</v>
      </c>
      <c r="BG56" s="307" t="str">
        <f>'Учебный план (очная)'!CP75</f>
        <v>64-7</v>
      </c>
      <c r="BH56" s="465" t="str">
        <f>'Учебный план (очная)'!CQ75</f>
        <v>ОК 1-9, ПК 1.1-1.3,2.1-2.3,  3.1-3.3</v>
      </c>
    </row>
    <row r="57" spans="1:60" ht="25.5" customHeight="1">
      <c r="A57" s="265" t="str">
        <f>'Учебный план (очная)'!A75</f>
        <v>ПП.01</v>
      </c>
      <c r="B57" s="265" t="str">
        <f>'Учебный план (очная)'!B75</f>
        <v>Производственная практика (практика по профилю специальности)</v>
      </c>
      <c r="C57" s="289"/>
      <c r="D57" s="313"/>
      <c r="E57" s="314">
        <v>3</v>
      </c>
      <c r="F57" s="313"/>
      <c r="G57" s="313"/>
      <c r="H57" s="313"/>
      <c r="I57" s="313"/>
      <c r="J57" s="315"/>
      <c r="K57" s="289"/>
      <c r="L57" s="188"/>
      <c r="M57" s="188"/>
      <c r="N57" s="442">
        <f>T57</f>
        <v>756</v>
      </c>
      <c r="O57" s="250"/>
      <c r="P57" s="250">
        <f aca="true" t="shared" si="65" ref="P57:R58">W57+AD57+AK57+AR57</f>
        <v>0</v>
      </c>
      <c r="Q57" s="250">
        <f t="shared" si="65"/>
        <v>0</v>
      </c>
      <c r="R57" s="250">
        <f t="shared" si="65"/>
        <v>0</v>
      </c>
      <c r="S57" s="250"/>
      <c r="T57" s="250">
        <f>AA57+AH57+AO57+AV57</f>
        <v>756</v>
      </c>
      <c r="U57" s="250">
        <f>AB57+AI57+AP57+AW57</f>
        <v>0</v>
      </c>
      <c r="V57" s="251">
        <f>SUM(W57:AB57)</f>
        <v>0</v>
      </c>
      <c r="W57" s="289"/>
      <c r="X57" s="289"/>
      <c r="Y57" s="289"/>
      <c r="Z57" s="289"/>
      <c r="AA57" s="289"/>
      <c r="AB57" s="289"/>
      <c r="AC57" s="251">
        <f>SUM(AD57:AI57)</f>
        <v>0</v>
      </c>
      <c r="AD57" s="289"/>
      <c r="AE57" s="289"/>
      <c r="AF57" s="289"/>
      <c r="AG57" s="289"/>
      <c r="AH57" s="289"/>
      <c r="AI57" s="289"/>
      <c r="AJ57" s="251">
        <f>SUM(AK57:AP57)</f>
        <v>648</v>
      </c>
      <c r="AK57" s="289"/>
      <c r="AL57" s="289"/>
      <c r="AM57" s="289"/>
      <c r="AN57" s="289"/>
      <c r="AO57" s="288">
        <v>648</v>
      </c>
      <c r="AP57" s="288"/>
      <c r="AQ57" s="251">
        <f>SUM(AR57:AW57)</f>
        <v>108</v>
      </c>
      <c r="AR57" s="289"/>
      <c r="AS57" s="289"/>
      <c r="AT57" s="289"/>
      <c r="AU57" s="289"/>
      <c r="AV57" s="288">
        <v>108</v>
      </c>
      <c r="AW57" s="288"/>
      <c r="AX57" s="251">
        <f>SUM(AY57:BF57)</f>
        <v>0</v>
      </c>
      <c r="AY57" s="289"/>
      <c r="AZ57" s="289"/>
      <c r="BA57" s="289"/>
      <c r="BB57" s="289"/>
      <c r="BC57" s="289"/>
      <c r="BD57" s="289"/>
      <c r="BE57" s="289"/>
      <c r="BF57" s="288"/>
      <c r="BG57" s="249" t="str">
        <f>'Учебный план (очная)'!CP75</f>
        <v>64-7</v>
      </c>
      <c r="BH57" s="436" t="str">
        <f>'Учебный план (очная)'!CQ75</f>
        <v>ОК 1-9, ПК 1.1-1.3,2.1-2.3,  3.1-3.3</v>
      </c>
    </row>
    <row r="58" spans="1:60" ht="25.5" customHeight="1">
      <c r="A58" s="265" t="str">
        <f>'Учебный план (очная)'!A76</f>
        <v>ПДП.01</v>
      </c>
      <c r="B58" s="265" t="str">
        <f>'Учебный план (очная)'!B76</f>
        <v>Производственная практика (преддипломная)</v>
      </c>
      <c r="C58" s="289"/>
      <c r="D58" s="313"/>
      <c r="E58" s="314">
        <v>4</v>
      </c>
      <c r="F58" s="313"/>
      <c r="G58" s="313"/>
      <c r="H58" s="313"/>
      <c r="I58" s="313"/>
      <c r="J58" s="315"/>
      <c r="K58" s="289"/>
      <c r="L58" s="188"/>
      <c r="M58" s="188"/>
      <c r="N58" s="250">
        <f>T58</f>
        <v>144</v>
      </c>
      <c r="O58" s="250"/>
      <c r="P58" s="250">
        <f t="shared" si="65"/>
        <v>0</v>
      </c>
      <c r="Q58" s="250">
        <f t="shared" si="65"/>
        <v>0</v>
      </c>
      <c r="R58" s="250">
        <f t="shared" si="65"/>
        <v>0</v>
      </c>
      <c r="S58" s="250"/>
      <c r="T58" s="250">
        <f>AA58+AH58+AO58+AV58</f>
        <v>144</v>
      </c>
      <c r="U58" s="250">
        <f>AB58+AI58+AP58+AW58</f>
        <v>0</v>
      </c>
      <c r="V58" s="251">
        <f>SUM(W58:AB58)</f>
        <v>0</v>
      </c>
      <c r="W58" s="289"/>
      <c r="X58" s="289"/>
      <c r="Y58" s="289"/>
      <c r="Z58" s="289"/>
      <c r="AA58" s="289"/>
      <c r="AB58" s="289"/>
      <c r="AC58" s="251">
        <f>SUM(AD58:AI58)</f>
        <v>0</v>
      </c>
      <c r="AD58" s="289"/>
      <c r="AE58" s="289"/>
      <c r="AF58" s="289"/>
      <c r="AG58" s="289"/>
      <c r="AH58" s="289"/>
      <c r="AI58" s="289"/>
      <c r="AJ58" s="251">
        <f>SUM(AK58:AP58)</f>
        <v>0</v>
      </c>
      <c r="AK58" s="289"/>
      <c r="AL58" s="289"/>
      <c r="AM58" s="289"/>
      <c r="AN58" s="289"/>
      <c r="AO58" s="289"/>
      <c r="AP58" s="289"/>
      <c r="AQ58" s="251">
        <f>SUM(AR58:AW58)</f>
        <v>144</v>
      </c>
      <c r="AR58" s="289"/>
      <c r="AS58" s="289"/>
      <c r="AT58" s="289"/>
      <c r="AU58" s="289"/>
      <c r="AV58" s="288">
        <v>144</v>
      </c>
      <c r="AW58" s="288"/>
      <c r="AX58" s="251">
        <f>SUM(AY58:BF58)</f>
        <v>0</v>
      </c>
      <c r="AY58" s="289"/>
      <c r="AZ58" s="289"/>
      <c r="BA58" s="289"/>
      <c r="BB58" s="289"/>
      <c r="BC58" s="289"/>
      <c r="BD58" s="289"/>
      <c r="BE58" s="289"/>
      <c r="BF58" s="288"/>
      <c r="BG58" s="249" t="str">
        <f>'Учебный план (очная)'!CP76</f>
        <v>64-7</v>
      </c>
      <c r="BH58" s="460" t="str">
        <f>'Учебный план (очная)'!CQ76</f>
        <v>ОК 1-9, ПК 1.1-1.3,2.1-2.3,  3.1-3.3</v>
      </c>
    </row>
    <row r="59" spans="1:60" s="168" customFormat="1" ht="25.5" customHeight="1">
      <c r="A59" s="308" t="s">
        <v>146</v>
      </c>
      <c r="B59" s="669" t="s">
        <v>456</v>
      </c>
      <c r="C59" s="670"/>
      <c r="D59" s="670"/>
      <c r="E59" s="670"/>
      <c r="F59" s="670"/>
      <c r="G59" s="670"/>
      <c r="H59" s="670"/>
      <c r="I59" s="671"/>
      <c r="J59" s="297"/>
      <c r="K59" s="290"/>
      <c r="L59" s="286">
        <f>'Учебный план (очная)'!N77</f>
        <v>324</v>
      </c>
      <c r="M59" s="286">
        <f>'Учебный план (очная)'!O77</f>
        <v>0</v>
      </c>
      <c r="N59" s="262">
        <v>324</v>
      </c>
      <c r="O59" s="262"/>
      <c r="P59" s="262">
        <f>P60+P61</f>
        <v>0</v>
      </c>
      <c r="Q59" s="262">
        <f>Q60+Q61</f>
        <v>0</v>
      </c>
      <c r="R59" s="262">
        <f>R60+R61</f>
        <v>0</v>
      </c>
      <c r="S59" s="262"/>
      <c r="T59" s="262">
        <f>T60+T61</f>
        <v>0</v>
      </c>
      <c r="U59" s="262">
        <f>U60+U61</f>
        <v>0</v>
      </c>
      <c r="V59" s="298">
        <v>0</v>
      </c>
      <c r="W59" s="298">
        <v>0</v>
      </c>
      <c r="X59" s="298">
        <v>0</v>
      </c>
      <c r="Y59" s="298">
        <v>0</v>
      </c>
      <c r="Z59" s="298"/>
      <c r="AA59" s="298">
        <v>0</v>
      </c>
      <c r="AB59" s="298">
        <v>0</v>
      </c>
      <c r="AC59" s="298">
        <v>0</v>
      </c>
      <c r="AD59" s="298">
        <v>0</v>
      </c>
      <c r="AE59" s="298">
        <v>0</v>
      </c>
      <c r="AF59" s="298">
        <v>0</v>
      </c>
      <c r="AG59" s="298"/>
      <c r="AH59" s="298">
        <v>0</v>
      </c>
      <c r="AI59" s="298">
        <v>0</v>
      </c>
      <c r="AJ59" s="298">
        <v>0</v>
      </c>
      <c r="AK59" s="298">
        <v>0</v>
      </c>
      <c r="AL59" s="298">
        <v>0</v>
      </c>
      <c r="AM59" s="298">
        <v>0</v>
      </c>
      <c r="AN59" s="298"/>
      <c r="AO59" s="298">
        <v>0</v>
      </c>
      <c r="AP59" s="298">
        <v>0</v>
      </c>
      <c r="AQ59" s="262">
        <f>SUM(AQ60:AQ61)</f>
        <v>0</v>
      </c>
      <c r="AR59" s="298">
        <f>AR61</f>
        <v>0</v>
      </c>
      <c r="AS59" s="298">
        <f>AS61</f>
        <v>0</v>
      </c>
      <c r="AT59" s="298">
        <f>AT61</f>
        <v>0</v>
      </c>
      <c r="AU59" s="298"/>
      <c r="AV59" s="298">
        <f>AV61</f>
        <v>0</v>
      </c>
      <c r="AW59" s="262">
        <f>SUM(AW60:AW61)</f>
        <v>0</v>
      </c>
      <c r="AX59" s="298">
        <f>AX61</f>
        <v>0</v>
      </c>
      <c r="AY59" s="298">
        <f aca="true" t="shared" si="66" ref="AY59:BG59">AY61</f>
        <v>0</v>
      </c>
      <c r="AZ59" s="298">
        <f t="shared" si="66"/>
        <v>0</v>
      </c>
      <c r="BA59" s="298">
        <f t="shared" si="66"/>
        <v>0</v>
      </c>
      <c r="BB59" s="298">
        <f t="shared" si="66"/>
        <v>0</v>
      </c>
      <c r="BC59" s="298"/>
      <c r="BD59" s="298">
        <f t="shared" si="66"/>
        <v>0</v>
      </c>
      <c r="BE59" s="298">
        <f t="shared" si="66"/>
        <v>0</v>
      </c>
      <c r="BF59" s="298">
        <f t="shared" si="66"/>
        <v>0</v>
      </c>
      <c r="BG59" s="298">
        <f t="shared" si="66"/>
        <v>0</v>
      </c>
      <c r="BH59" s="465" t="str">
        <f>'Учебный план (очная)'!CQ78</f>
        <v>ОК 1-9, ПК 1.1-1.3,2.1-2.3,  3.1-3.3</v>
      </c>
    </row>
    <row r="60" spans="1:60" s="193" customFormat="1" ht="36" customHeight="1">
      <c r="A60" s="252" t="str">
        <f>'Учебный план (очная)'!A78</f>
        <v>ГИА.01</v>
      </c>
      <c r="B60" s="252" t="str">
        <f>'Учебный план (очная)'!B78</f>
        <v>Подготовка выпускной квалификационной работы</v>
      </c>
      <c r="C60" s="252"/>
      <c r="D60" s="266"/>
      <c r="E60" s="266"/>
      <c r="F60" s="266"/>
      <c r="G60" s="266"/>
      <c r="H60" s="266"/>
      <c r="I60" s="266"/>
      <c r="J60" s="316"/>
      <c r="K60" s="266"/>
      <c r="L60" s="188"/>
      <c r="M60" s="188"/>
      <c r="N60" s="250">
        <v>216</v>
      </c>
      <c r="O60" s="317"/>
      <c r="P60" s="317">
        <f>W60+AD60+AK60+AR60</f>
        <v>0</v>
      </c>
      <c r="Q60" s="317">
        <f>X60+AE60+AL60+AS60</f>
        <v>0</v>
      </c>
      <c r="R60" s="317">
        <f>Y60+AF60+AM60+AT60</f>
        <v>0</v>
      </c>
      <c r="S60" s="317"/>
      <c r="T60" s="317">
        <f>AA60+AH60+AO60+AV60</f>
        <v>0</v>
      </c>
      <c r="U60" s="317">
        <f>AB60+AI60+AP60+AW60+BF60</f>
        <v>0</v>
      </c>
      <c r="V60" s="251">
        <f>SUM(W60:AB60)</f>
        <v>0</v>
      </c>
      <c r="W60" s="289"/>
      <c r="X60" s="289"/>
      <c r="Y60" s="289"/>
      <c r="Z60" s="289"/>
      <c r="AA60" s="289"/>
      <c r="AB60" s="289"/>
      <c r="AC60" s="251">
        <f>SUM(AD60:AI60)</f>
        <v>0</v>
      </c>
      <c r="AD60" s="289"/>
      <c r="AE60" s="289"/>
      <c r="AF60" s="289"/>
      <c r="AG60" s="289"/>
      <c r="AH60" s="289"/>
      <c r="AI60" s="289"/>
      <c r="AJ60" s="251">
        <f>SUM(AK60:AP60)</f>
        <v>0</v>
      </c>
      <c r="AK60" s="289"/>
      <c r="AL60" s="289"/>
      <c r="AM60" s="289"/>
      <c r="AN60" s="289"/>
      <c r="AO60" s="289"/>
      <c r="AP60" s="289"/>
      <c r="AQ60" s="318">
        <f>SUM(AR60:AW60)</f>
        <v>0</v>
      </c>
      <c r="AR60" s="256"/>
      <c r="AS60" s="256"/>
      <c r="AT60" s="256"/>
      <c r="AU60" s="256"/>
      <c r="AV60" s="256"/>
      <c r="AW60" s="256"/>
      <c r="AX60" s="318"/>
      <c r="AY60" s="256"/>
      <c r="AZ60" s="256"/>
      <c r="BA60" s="256"/>
      <c r="BB60" s="256"/>
      <c r="BC60" s="256"/>
      <c r="BD60" s="256"/>
      <c r="BE60" s="256"/>
      <c r="BF60" s="256"/>
      <c r="BG60" s="266" t="str">
        <f>'Учебный план (очная)'!CP78</f>
        <v>64-7</v>
      </c>
      <c r="BH60" s="462" t="str">
        <f>'Учебный план (очная)'!CQ78</f>
        <v>ОК 1-9, ПК 1.1-1.3,2.1-2.3,  3.1-3.3</v>
      </c>
    </row>
    <row r="61" spans="1:60" s="193" customFormat="1" ht="25.5" customHeight="1">
      <c r="A61" s="252" t="str">
        <f>'Учебный план (очная)'!A79</f>
        <v>ГИА.02</v>
      </c>
      <c r="B61" s="252" t="str">
        <f>'Учебный план (очная)'!B79</f>
        <v>Защита выпускной квалификационной работы</v>
      </c>
      <c r="C61" s="252"/>
      <c r="D61" s="266"/>
      <c r="E61" s="266"/>
      <c r="F61" s="266"/>
      <c r="G61" s="266"/>
      <c r="H61" s="266"/>
      <c r="I61" s="266"/>
      <c r="J61" s="316"/>
      <c r="K61" s="266"/>
      <c r="L61" s="188"/>
      <c r="M61" s="188"/>
      <c r="N61" s="250">
        <v>108</v>
      </c>
      <c r="O61" s="317"/>
      <c r="P61" s="317"/>
      <c r="Q61" s="317"/>
      <c r="R61" s="317"/>
      <c r="S61" s="317"/>
      <c r="T61" s="317"/>
      <c r="U61" s="317">
        <f>AB61+AI61+AP61+AW61+BF61</f>
        <v>0</v>
      </c>
      <c r="V61" s="251"/>
      <c r="W61" s="289"/>
      <c r="X61" s="289"/>
      <c r="Y61" s="289"/>
      <c r="Z61" s="289"/>
      <c r="AA61" s="289"/>
      <c r="AB61" s="289"/>
      <c r="AC61" s="251"/>
      <c r="AD61" s="289"/>
      <c r="AE61" s="289"/>
      <c r="AF61" s="289"/>
      <c r="AG61" s="289"/>
      <c r="AH61" s="289"/>
      <c r="AI61" s="289"/>
      <c r="AJ61" s="251"/>
      <c r="AK61" s="289"/>
      <c r="AL61" s="289"/>
      <c r="AM61" s="289"/>
      <c r="AN61" s="289"/>
      <c r="AO61" s="289"/>
      <c r="AP61" s="289"/>
      <c r="AQ61" s="318">
        <f>SUM(AR61:AW61)</f>
        <v>0</v>
      </c>
      <c r="AR61" s="256"/>
      <c r="AS61" s="256"/>
      <c r="AT61" s="256"/>
      <c r="AU61" s="256"/>
      <c r="AV61" s="256"/>
      <c r="AW61" s="256"/>
      <c r="AX61" s="318"/>
      <c r="AY61" s="256"/>
      <c r="AZ61" s="256"/>
      <c r="BA61" s="256"/>
      <c r="BB61" s="256"/>
      <c r="BC61" s="256"/>
      <c r="BD61" s="256"/>
      <c r="BE61" s="256"/>
      <c r="BF61" s="256"/>
      <c r="BG61" s="266"/>
      <c r="BH61" s="462"/>
    </row>
    <row r="62" spans="1:60" s="168" customFormat="1" ht="12.75" hidden="1">
      <c r="A62" s="191"/>
      <c r="B62" s="258" t="s">
        <v>132</v>
      </c>
      <c r="C62" s="258"/>
      <c r="D62" s="170"/>
      <c r="E62" s="170"/>
      <c r="F62" s="170"/>
      <c r="G62" s="170"/>
      <c r="H62" s="170"/>
      <c r="I62" s="170"/>
      <c r="J62" s="239"/>
      <c r="K62" s="189"/>
      <c r="L62" s="190">
        <v>0</v>
      </c>
      <c r="M62" s="190" t="str">
        <f>'[1]Нормы'!E21</f>
        <v>-</v>
      </c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70">
        <f>'Учебный план (очная)'!CP80</f>
        <v>0</v>
      </c>
      <c r="BH62" s="170">
        <f>'Учебный план (очная)'!CQ80</f>
        <v>0</v>
      </c>
    </row>
    <row r="63" spans="1:58" ht="12.75" hidden="1">
      <c r="A63" s="184"/>
      <c r="B63" s="185"/>
      <c r="C63" s="185"/>
      <c r="D63" s="186"/>
      <c r="E63" s="186"/>
      <c r="F63" s="186"/>
      <c r="G63" s="186"/>
      <c r="H63" s="186"/>
      <c r="I63" s="186"/>
      <c r="J63" s="240"/>
      <c r="K63" s="186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</row>
    <row r="64" spans="1:58" ht="12.75" hidden="1">
      <c r="A64" s="592"/>
      <c r="B64" s="593"/>
      <c r="C64" s="593"/>
      <c r="D64" s="66"/>
      <c r="E64" s="171"/>
      <c r="F64" s="66"/>
      <c r="G64" s="66"/>
      <c r="H64" s="66"/>
      <c r="I64" s="66"/>
      <c r="J64" s="204"/>
      <c r="K64" s="66"/>
      <c r="L64" s="67"/>
      <c r="M64" s="67"/>
      <c r="N64" s="66"/>
      <c r="O64" s="66"/>
      <c r="P64" s="66"/>
      <c r="Q64" s="66"/>
      <c r="R64" s="66"/>
      <c r="S64" s="66"/>
      <c r="T64" s="66"/>
      <c r="U64" s="66"/>
      <c r="V64" s="67"/>
      <c r="W64" s="172"/>
      <c r="X64" s="172"/>
      <c r="Y64" s="172"/>
      <c r="Z64" s="172"/>
      <c r="AA64" s="172"/>
      <c r="AB64" s="172"/>
      <c r="AC64" s="67"/>
      <c r="AD64" s="172"/>
      <c r="AE64" s="172"/>
      <c r="AF64" s="172"/>
      <c r="AG64" s="172"/>
      <c r="AH64" s="172"/>
      <c r="AI64" s="172"/>
      <c r="AJ64" s="67"/>
      <c r="AK64" s="172"/>
      <c r="AL64" s="172"/>
      <c r="AM64" s="172"/>
      <c r="AN64" s="172"/>
      <c r="AO64" s="172"/>
      <c r="AP64" s="172"/>
      <c r="AQ64" s="67"/>
      <c r="AR64" s="172"/>
      <c r="AS64" s="172"/>
      <c r="AT64" s="172"/>
      <c r="AU64" s="172"/>
      <c r="AV64" s="172"/>
      <c r="AW64" s="172"/>
      <c r="AX64" s="67"/>
      <c r="AY64" s="172"/>
      <c r="AZ64" s="172"/>
      <c r="BA64" s="172"/>
      <c r="BB64" s="172"/>
      <c r="BC64" s="172"/>
      <c r="BD64" s="172"/>
      <c r="BE64" s="172"/>
      <c r="BF64" s="172"/>
    </row>
    <row r="65" spans="1:58" ht="12" customHeight="1" hidden="1">
      <c r="A65" s="587"/>
      <c r="B65" s="588"/>
      <c r="C65" s="588"/>
      <c r="D65" s="68"/>
      <c r="E65" s="173"/>
      <c r="F65" s="68"/>
      <c r="G65" s="68"/>
      <c r="H65" s="68"/>
      <c r="I65" s="68"/>
      <c r="J65" s="205"/>
      <c r="K65" s="68"/>
      <c r="L65" s="69"/>
      <c r="M65" s="69"/>
      <c r="N65" s="68"/>
      <c r="O65" s="68"/>
      <c r="P65" s="68"/>
      <c r="Q65" s="68"/>
      <c r="R65" s="68"/>
      <c r="S65" s="68"/>
      <c r="T65" s="68"/>
      <c r="U65" s="68"/>
      <c r="V65" s="69"/>
      <c r="W65" s="174"/>
      <c r="X65" s="174"/>
      <c r="Y65" s="174"/>
      <c r="Z65" s="174"/>
      <c r="AA65" s="174"/>
      <c r="AB65" s="174"/>
      <c r="AC65" s="69"/>
      <c r="AD65" s="174"/>
      <c r="AE65" s="174"/>
      <c r="AF65" s="174"/>
      <c r="AG65" s="174"/>
      <c r="AH65" s="174"/>
      <c r="AI65" s="174"/>
      <c r="AJ65" s="69"/>
      <c r="AK65" s="174"/>
      <c r="AL65" s="174"/>
      <c r="AM65" s="174"/>
      <c r="AN65" s="174"/>
      <c r="AO65" s="174"/>
      <c r="AP65" s="174"/>
      <c r="AQ65" s="69"/>
      <c r="AR65" s="174"/>
      <c r="AS65" s="174"/>
      <c r="AT65" s="174"/>
      <c r="AU65" s="174"/>
      <c r="AV65" s="174"/>
      <c r="AW65" s="174"/>
      <c r="AX65" s="69"/>
      <c r="AY65" s="174"/>
      <c r="AZ65" s="174"/>
      <c r="BA65" s="174"/>
      <c r="BB65" s="174"/>
      <c r="BC65" s="174"/>
      <c r="BD65" s="174"/>
      <c r="BE65" s="174"/>
      <c r="BF65" s="174"/>
    </row>
    <row r="66" spans="1:60" s="168" customFormat="1" ht="12.75">
      <c r="A66" s="472"/>
      <c r="B66" s="686" t="s">
        <v>461</v>
      </c>
      <c r="C66" s="687"/>
      <c r="D66" s="687"/>
      <c r="E66" s="687"/>
      <c r="F66" s="687"/>
      <c r="G66" s="687"/>
      <c r="H66" s="687"/>
      <c r="I66" s="688"/>
      <c r="J66" s="241"/>
      <c r="K66" s="203"/>
      <c r="L66" s="175">
        <f>L9+L47</f>
        <v>3780</v>
      </c>
      <c r="M66" s="175">
        <f>M9+M47</f>
        <v>2520</v>
      </c>
      <c r="N66" s="176">
        <f>N47+N9</f>
        <v>4536</v>
      </c>
      <c r="O66" s="176">
        <f>O9+O47</f>
        <v>640</v>
      </c>
      <c r="P66" s="176">
        <f>P9+P47</f>
        <v>504</v>
      </c>
      <c r="Q66" s="176">
        <f>Q9+Q47</f>
        <v>76</v>
      </c>
      <c r="R66" s="176">
        <f>R9+R47</f>
        <v>60</v>
      </c>
      <c r="S66" s="176"/>
      <c r="T66" s="176">
        <f>T9+T47</f>
        <v>0</v>
      </c>
      <c r="U66" s="322">
        <f>U9+U47</f>
        <v>3896</v>
      </c>
      <c r="V66" s="473">
        <f>SUM(W66:AB66)</f>
        <v>897</v>
      </c>
      <c r="W66" s="179">
        <f>W9+W47</f>
        <v>130</v>
      </c>
      <c r="X66" s="179">
        <f>X9+X47</f>
        <v>30</v>
      </c>
      <c r="Y66" s="179">
        <f>Y9+Y47</f>
        <v>0</v>
      </c>
      <c r="Z66" s="179"/>
      <c r="AA66" s="179">
        <f>AA9+AA47</f>
        <v>0</v>
      </c>
      <c r="AB66" s="179">
        <f>AB9+AB47</f>
        <v>737</v>
      </c>
      <c r="AC66" s="473">
        <f>SUM(AD66:AI66)</f>
        <v>1239</v>
      </c>
      <c r="AD66" s="179">
        <f>AD9+AD47</f>
        <v>144</v>
      </c>
      <c r="AE66" s="179">
        <f>AE9+AE47</f>
        <v>16</v>
      </c>
      <c r="AF66" s="179">
        <f>AF9+AF47</f>
        <v>0</v>
      </c>
      <c r="AG66" s="179"/>
      <c r="AH66" s="179">
        <f>AH9+AH47</f>
        <v>0</v>
      </c>
      <c r="AI66" s="179">
        <f>AI9+AI47</f>
        <v>1079</v>
      </c>
      <c r="AJ66" s="474">
        <f>SUM(AK66:AP66)</f>
        <v>1484</v>
      </c>
      <c r="AK66" s="179">
        <f>AK9+AK47</f>
        <v>148</v>
      </c>
      <c r="AL66" s="179">
        <f>AL9+AL47</f>
        <v>12</v>
      </c>
      <c r="AM66" s="179">
        <f>AM9+AM47</f>
        <v>0</v>
      </c>
      <c r="AN66" s="179"/>
      <c r="AO66" s="179">
        <f>AO9+AO47</f>
        <v>0</v>
      </c>
      <c r="AP66" s="323">
        <f>AP9+AP47</f>
        <v>1324</v>
      </c>
      <c r="AQ66" s="473">
        <f>SUM(AR66:AW66)</f>
        <v>916</v>
      </c>
      <c r="AR66" s="179">
        <f>AR9+AR47</f>
        <v>82</v>
      </c>
      <c r="AS66" s="179">
        <f>AS9+AS47</f>
        <v>18</v>
      </c>
      <c r="AT66" s="179">
        <f>AT9+AT47</f>
        <v>60</v>
      </c>
      <c r="AU66" s="179"/>
      <c r="AV66" s="179">
        <f>AV9+AV47</f>
        <v>0</v>
      </c>
      <c r="AW66" s="179">
        <f>AW9+AW47</f>
        <v>756</v>
      </c>
      <c r="AX66" s="474">
        <f>SUM(AY66:BF66)</f>
        <v>0</v>
      </c>
      <c r="AY66" s="179">
        <f>AY9+AY47+AY18</f>
        <v>0</v>
      </c>
      <c r="AZ66" s="179">
        <f>AZ9+AZ47+AZ18</f>
        <v>0</v>
      </c>
      <c r="BA66" s="179">
        <f>BA9+BA47</f>
        <v>0</v>
      </c>
      <c r="BB66" s="179">
        <f>BB9+BB47</f>
        <v>0</v>
      </c>
      <c r="BC66" s="179"/>
      <c r="BD66" s="179">
        <f>BD9+BD47</f>
        <v>0</v>
      </c>
      <c r="BE66" s="179">
        <f>BE9+BE47</f>
        <v>0</v>
      </c>
      <c r="BF66" s="179">
        <f>BF9+BF47</f>
        <v>0</v>
      </c>
      <c r="BG66" s="475"/>
      <c r="BH66" s="475"/>
    </row>
    <row r="67" spans="1:60" s="168" customFormat="1" ht="12.75">
      <c r="A67" s="472"/>
      <c r="B67" s="686" t="s">
        <v>175</v>
      </c>
      <c r="C67" s="687"/>
      <c r="D67" s="687"/>
      <c r="E67" s="687"/>
      <c r="F67" s="687"/>
      <c r="G67" s="687"/>
      <c r="H67" s="687"/>
      <c r="I67" s="688"/>
      <c r="J67" s="241"/>
      <c r="K67" s="203"/>
      <c r="L67" s="175">
        <v>2808</v>
      </c>
      <c r="M67" s="175">
        <v>1872</v>
      </c>
      <c r="N67" s="176">
        <f aca="true" t="shared" si="67" ref="N67:V67">N55</f>
        <v>144</v>
      </c>
      <c r="O67" s="176">
        <f t="shared" si="67"/>
        <v>0</v>
      </c>
      <c r="P67" s="176">
        <f t="shared" si="67"/>
        <v>0</v>
      </c>
      <c r="Q67" s="176">
        <f t="shared" si="67"/>
        <v>0</v>
      </c>
      <c r="R67" s="176">
        <f t="shared" si="67"/>
        <v>0</v>
      </c>
      <c r="S67" s="176"/>
      <c r="T67" s="176">
        <f t="shared" si="67"/>
        <v>144</v>
      </c>
      <c r="U67" s="322">
        <f t="shared" si="67"/>
        <v>0</v>
      </c>
      <c r="V67" s="470">
        <f t="shared" si="67"/>
        <v>0</v>
      </c>
      <c r="W67" s="473">
        <f aca="true" t="shared" si="68" ref="W67:AW67">W55</f>
        <v>0</v>
      </c>
      <c r="X67" s="473">
        <f t="shared" si="68"/>
        <v>0</v>
      </c>
      <c r="Y67" s="473">
        <f t="shared" si="68"/>
        <v>0</v>
      </c>
      <c r="Z67" s="473"/>
      <c r="AA67" s="473">
        <f t="shared" si="68"/>
        <v>0</v>
      </c>
      <c r="AB67" s="473">
        <f t="shared" si="68"/>
        <v>0</v>
      </c>
      <c r="AC67" s="470">
        <f t="shared" si="68"/>
        <v>144</v>
      </c>
      <c r="AD67" s="473">
        <f t="shared" si="68"/>
        <v>0</v>
      </c>
      <c r="AE67" s="473">
        <f t="shared" si="68"/>
        <v>0</v>
      </c>
      <c r="AF67" s="473">
        <f t="shared" si="68"/>
        <v>0</v>
      </c>
      <c r="AG67" s="473"/>
      <c r="AH67" s="473">
        <f t="shared" si="68"/>
        <v>144</v>
      </c>
      <c r="AI67" s="473">
        <f t="shared" si="68"/>
        <v>0</v>
      </c>
      <c r="AJ67" s="471">
        <f t="shared" si="68"/>
        <v>0</v>
      </c>
      <c r="AK67" s="473">
        <f t="shared" si="68"/>
        <v>0</v>
      </c>
      <c r="AL67" s="473">
        <f t="shared" si="68"/>
        <v>0</v>
      </c>
      <c r="AM67" s="473">
        <f t="shared" si="68"/>
        <v>0</v>
      </c>
      <c r="AN67" s="473"/>
      <c r="AO67" s="473">
        <f t="shared" si="68"/>
        <v>0</v>
      </c>
      <c r="AP67" s="470">
        <f t="shared" si="68"/>
        <v>0</v>
      </c>
      <c r="AQ67" s="470">
        <f t="shared" si="68"/>
        <v>0</v>
      </c>
      <c r="AR67" s="473">
        <f t="shared" si="68"/>
        <v>0</v>
      </c>
      <c r="AS67" s="473">
        <f t="shared" si="68"/>
        <v>0</v>
      </c>
      <c r="AT67" s="473">
        <f t="shared" si="68"/>
        <v>0</v>
      </c>
      <c r="AU67" s="473"/>
      <c r="AV67" s="473">
        <f t="shared" si="68"/>
        <v>0</v>
      </c>
      <c r="AW67" s="473">
        <f t="shared" si="68"/>
        <v>0</v>
      </c>
      <c r="AX67" s="471" t="e">
        <f>AX55+#REF!</f>
        <v>#REF!</v>
      </c>
      <c r="AY67" s="473" t="e">
        <f>AY55+#REF!</f>
        <v>#REF!</v>
      </c>
      <c r="AZ67" s="473" t="e">
        <f>AZ55+#REF!</f>
        <v>#REF!</v>
      </c>
      <c r="BA67" s="473" t="e">
        <f>BA55+#REF!</f>
        <v>#REF!</v>
      </c>
      <c r="BB67" s="473" t="e">
        <f>BB55+#REF!</f>
        <v>#REF!</v>
      </c>
      <c r="BC67" s="473"/>
      <c r="BD67" s="473" t="e">
        <f>BD55+#REF!</f>
        <v>#REF!</v>
      </c>
      <c r="BE67" s="474" t="e">
        <f>BE55+#REF!</f>
        <v>#REF!</v>
      </c>
      <c r="BF67" s="179" t="e">
        <f>BF55+#REF!</f>
        <v>#REF!</v>
      </c>
      <c r="BG67" s="475"/>
      <c r="BH67" s="475"/>
    </row>
    <row r="68" spans="1:60" s="168" customFormat="1" ht="12.75">
      <c r="A68" s="472"/>
      <c r="B68" s="686" t="s">
        <v>462</v>
      </c>
      <c r="C68" s="687"/>
      <c r="D68" s="687"/>
      <c r="E68" s="687"/>
      <c r="F68" s="687"/>
      <c r="G68" s="687"/>
      <c r="H68" s="687"/>
      <c r="I68" s="688"/>
      <c r="J68" s="241"/>
      <c r="K68" s="203"/>
      <c r="L68" s="175">
        <f aca="true" t="shared" si="69" ref="L68:U68">L59</f>
        <v>324</v>
      </c>
      <c r="M68" s="175">
        <f t="shared" si="69"/>
        <v>0</v>
      </c>
      <c r="N68" s="176">
        <f t="shared" si="69"/>
        <v>324</v>
      </c>
      <c r="O68" s="176">
        <f t="shared" si="69"/>
        <v>0</v>
      </c>
      <c r="P68" s="176">
        <f t="shared" si="69"/>
        <v>0</v>
      </c>
      <c r="Q68" s="176">
        <f t="shared" si="69"/>
        <v>0</v>
      </c>
      <c r="R68" s="176">
        <f t="shared" si="69"/>
        <v>0</v>
      </c>
      <c r="S68" s="176"/>
      <c r="T68" s="176">
        <f t="shared" si="69"/>
        <v>0</v>
      </c>
      <c r="U68" s="323">
        <f t="shared" si="69"/>
        <v>0</v>
      </c>
      <c r="V68" s="473">
        <f aca="true" t="shared" si="70" ref="V68:AB68">V59</f>
        <v>0</v>
      </c>
      <c r="W68" s="179">
        <f t="shared" si="70"/>
        <v>0</v>
      </c>
      <c r="X68" s="179">
        <f t="shared" si="70"/>
        <v>0</v>
      </c>
      <c r="Y68" s="179">
        <f t="shared" si="70"/>
        <v>0</v>
      </c>
      <c r="Z68" s="179"/>
      <c r="AA68" s="179">
        <f t="shared" si="70"/>
        <v>0</v>
      </c>
      <c r="AB68" s="179">
        <f t="shared" si="70"/>
        <v>0</v>
      </c>
      <c r="AC68" s="473">
        <f aca="true" t="shared" si="71" ref="AC68:AI68">AC59</f>
        <v>0</v>
      </c>
      <c r="AD68" s="179">
        <f t="shared" si="71"/>
        <v>0</v>
      </c>
      <c r="AE68" s="179">
        <f t="shared" si="71"/>
        <v>0</v>
      </c>
      <c r="AF68" s="179">
        <f t="shared" si="71"/>
        <v>0</v>
      </c>
      <c r="AG68" s="179"/>
      <c r="AH68" s="179">
        <f t="shared" si="71"/>
        <v>0</v>
      </c>
      <c r="AI68" s="179">
        <f t="shared" si="71"/>
        <v>0</v>
      </c>
      <c r="AJ68" s="474">
        <f aca="true" t="shared" si="72" ref="AJ68:AP68">AJ59</f>
        <v>0</v>
      </c>
      <c r="AK68" s="179">
        <f t="shared" si="72"/>
        <v>0</v>
      </c>
      <c r="AL68" s="179">
        <f t="shared" si="72"/>
        <v>0</v>
      </c>
      <c r="AM68" s="179">
        <f t="shared" si="72"/>
        <v>0</v>
      </c>
      <c r="AN68" s="179"/>
      <c r="AO68" s="179">
        <f t="shared" si="72"/>
        <v>0</v>
      </c>
      <c r="AP68" s="323">
        <f t="shared" si="72"/>
        <v>0</v>
      </c>
      <c r="AQ68" s="473">
        <f aca="true" t="shared" si="73" ref="AQ68:BF68">AQ59</f>
        <v>0</v>
      </c>
      <c r="AR68" s="179">
        <f t="shared" si="73"/>
        <v>0</v>
      </c>
      <c r="AS68" s="179">
        <f t="shared" si="73"/>
        <v>0</v>
      </c>
      <c r="AT68" s="179">
        <f t="shared" si="73"/>
        <v>0</v>
      </c>
      <c r="AU68" s="179"/>
      <c r="AV68" s="179">
        <f t="shared" si="73"/>
        <v>0</v>
      </c>
      <c r="AW68" s="179">
        <f t="shared" si="73"/>
        <v>0</v>
      </c>
      <c r="AX68" s="474">
        <f t="shared" si="73"/>
        <v>0</v>
      </c>
      <c r="AY68" s="179">
        <f t="shared" si="73"/>
        <v>0</v>
      </c>
      <c r="AZ68" s="179">
        <f t="shared" si="73"/>
        <v>0</v>
      </c>
      <c r="BA68" s="179">
        <f t="shared" si="73"/>
        <v>0</v>
      </c>
      <c r="BB68" s="179">
        <f t="shared" si="73"/>
        <v>0</v>
      </c>
      <c r="BC68" s="179"/>
      <c r="BD68" s="179">
        <f t="shared" si="73"/>
        <v>0</v>
      </c>
      <c r="BE68" s="179">
        <f t="shared" si="73"/>
        <v>0</v>
      </c>
      <c r="BF68" s="179">
        <f t="shared" si="73"/>
        <v>0</v>
      </c>
      <c r="BG68" s="475"/>
      <c r="BH68" s="475"/>
    </row>
    <row r="69" spans="1:60" s="168" customFormat="1" ht="12.75" hidden="1">
      <c r="A69" s="472"/>
      <c r="B69" s="686" t="s">
        <v>215</v>
      </c>
      <c r="C69" s="687"/>
      <c r="D69" s="687"/>
      <c r="E69" s="687"/>
      <c r="F69" s="687"/>
      <c r="G69" s="687"/>
      <c r="H69" s="687"/>
      <c r="I69" s="688"/>
      <c r="J69" s="241"/>
      <c r="K69" s="203"/>
      <c r="L69" s="175">
        <f aca="true" t="shared" si="74" ref="L69:AA69">L62</f>
        <v>0</v>
      </c>
      <c r="M69" s="175" t="str">
        <f t="shared" si="74"/>
        <v>-</v>
      </c>
      <c r="N69" s="176">
        <f t="shared" si="74"/>
        <v>0</v>
      </c>
      <c r="O69" s="176">
        <f t="shared" si="74"/>
        <v>0</v>
      </c>
      <c r="P69" s="176">
        <f t="shared" si="74"/>
        <v>0</v>
      </c>
      <c r="Q69" s="176">
        <f t="shared" si="74"/>
        <v>0</v>
      </c>
      <c r="R69" s="176">
        <f t="shared" si="74"/>
        <v>0</v>
      </c>
      <c r="S69" s="176"/>
      <c r="T69" s="176">
        <f t="shared" si="74"/>
        <v>0</v>
      </c>
      <c r="U69" s="322">
        <f t="shared" si="74"/>
        <v>0</v>
      </c>
      <c r="V69" s="473">
        <f t="shared" si="74"/>
        <v>0</v>
      </c>
      <c r="W69" s="179">
        <f t="shared" si="74"/>
        <v>0</v>
      </c>
      <c r="X69" s="179">
        <f t="shared" si="74"/>
        <v>0</v>
      </c>
      <c r="Y69" s="179">
        <f t="shared" si="74"/>
        <v>0</v>
      </c>
      <c r="Z69" s="179"/>
      <c r="AA69" s="179">
        <f t="shared" si="74"/>
        <v>0</v>
      </c>
      <c r="AB69" s="176"/>
      <c r="AC69" s="473">
        <f>AC62</f>
        <v>0</v>
      </c>
      <c r="AD69" s="179">
        <f>AD62</f>
        <v>0</v>
      </c>
      <c r="AE69" s="179">
        <f>AE62</f>
        <v>0</v>
      </c>
      <c r="AF69" s="179">
        <f>AF62</f>
        <v>0</v>
      </c>
      <c r="AG69" s="179"/>
      <c r="AH69" s="179">
        <f>AH62</f>
        <v>0</v>
      </c>
      <c r="AI69" s="176"/>
      <c r="AJ69" s="474">
        <f>AJ62</f>
        <v>0</v>
      </c>
      <c r="AK69" s="179">
        <f>AK62</f>
        <v>0</v>
      </c>
      <c r="AL69" s="179">
        <f>AL62</f>
        <v>0</v>
      </c>
      <c r="AM69" s="179">
        <f>AM62</f>
        <v>0</v>
      </c>
      <c r="AN69" s="179"/>
      <c r="AO69" s="179">
        <f>AO62</f>
        <v>0</v>
      </c>
      <c r="AP69" s="322"/>
      <c r="AQ69" s="473">
        <f>AQ62</f>
        <v>0</v>
      </c>
      <c r="AR69" s="179">
        <f>AR62</f>
        <v>0</v>
      </c>
      <c r="AS69" s="179">
        <f>AS62</f>
        <v>0</v>
      </c>
      <c r="AT69" s="179">
        <f>AT62</f>
        <v>0</v>
      </c>
      <c r="AU69" s="179"/>
      <c r="AV69" s="179">
        <f>AV62</f>
        <v>0</v>
      </c>
      <c r="AW69" s="176"/>
      <c r="AX69" s="474">
        <f aca="true" t="shared" si="75" ref="AX69:BE69">AX62</f>
        <v>0</v>
      </c>
      <c r="AY69" s="179">
        <f t="shared" si="75"/>
        <v>0</v>
      </c>
      <c r="AZ69" s="179">
        <f t="shared" si="75"/>
        <v>0</v>
      </c>
      <c r="BA69" s="179">
        <f t="shared" si="75"/>
        <v>0</v>
      </c>
      <c r="BB69" s="179">
        <f t="shared" si="75"/>
        <v>0</v>
      </c>
      <c r="BC69" s="179"/>
      <c r="BD69" s="179">
        <f t="shared" si="75"/>
        <v>0</v>
      </c>
      <c r="BE69" s="179">
        <f t="shared" si="75"/>
        <v>0</v>
      </c>
      <c r="BF69" s="322">
        <f>BF59</f>
        <v>0</v>
      </c>
      <c r="BG69" s="475"/>
      <c r="BH69" s="475"/>
    </row>
    <row r="70" spans="1:60" s="168" customFormat="1" ht="12.75">
      <c r="A70" s="476"/>
      <c r="B70" s="686" t="s">
        <v>159</v>
      </c>
      <c r="C70" s="687"/>
      <c r="D70" s="687"/>
      <c r="E70" s="687"/>
      <c r="F70" s="687"/>
      <c r="G70" s="687"/>
      <c r="H70" s="687"/>
      <c r="I70" s="687"/>
      <c r="J70" s="242"/>
      <c r="K70" s="202"/>
      <c r="L70" s="178">
        <f aca="true" t="shared" si="76" ref="L70:U70">SUM(L66:L68)</f>
        <v>6912</v>
      </c>
      <c r="M70" s="178">
        <f t="shared" si="76"/>
        <v>4392</v>
      </c>
      <c r="N70" s="179">
        <f t="shared" si="76"/>
        <v>5004</v>
      </c>
      <c r="O70" s="179">
        <f t="shared" si="76"/>
        <v>640</v>
      </c>
      <c r="P70" s="179">
        <f t="shared" si="76"/>
        <v>504</v>
      </c>
      <c r="Q70" s="179">
        <f t="shared" si="76"/>
        <v>76</v>
      </c>
      <c r="R70" s="179">
        <f t="shared" si="76"/>
        <v>60</v>
      </c>
      <c r="S70" s="179"/>
      <c r="T70" s="179">
        <f t="shared" si="76"/>
        <v>144</v>
      </c>
      <c r="U70" s="323">
        <f t="shared" si="76"/>
        <v>3896</v>
      </c>
      <c r="V70" s="473">
        <f aca="true" t="shared" si="77" ref="V70:AB70">SUM(V66:V68)</f>
        <v>897</v>
      </c>
      <c r="W70" s="179">
        <f t="shared" si="77"/>
        <v>130</v>
      </c>
      <c r="X70" s="179">
        <f t="shared" si="77"/>
        <v>30</v>
      </c>
      <c r="Y70" s="179">
        <f t="shared" si="77"/>
        <v>0</v>
      </c>
      <c r="Z70" s="179"/>
      <c r="AA70" s="179">
        <f t="shared" si="77"/>
        <v>0</v>
      </c>
      <c r="AB70" s="179">
        <f t="shared" si="77"/>
        <v>737</v>
      </c>
      <c r="AC70" s="473">
        <f aca="true" t="shared" si="78" ref="AC70:AI70">SUM(AC66:AC68)</f>
        <v>1383</v>
      </c>
      <c r="AD70" s="179">
        <f t="shared" si="78"/>
        <v>144</v>
      </c>
      <c r="AE70" s="179">
        <f t="shared" si="78"/>
        <v>16</v>
      </c>
      <c r="AF70" s="179">
        <f t="shared" si="78"/>
        <v>0</v>
      </c>
      <c r="AG70" s="179"/>
      <c r="AH70" s="179">
        <f t="shared" si="78"/>
        <v>144</v>
      </c>
      <c r="AI70" s="179">
        <f t="shared" si="78"/>
        <v>1079</v>
      </c>
      <c r="AJ70" s="474">
        <f aca="true" t="shared" si="79" ref="AJ70:AP70">SUM(AJ66:AJ68)</f>
        <v>1484</v>
      </c>
      <c r="AK70" s="179">
        <f t="shared" si="79"/>
        <v>148</v>
      </c>
      <c r="AL70" s="179">
        <f t="shared" si="79"/>
        <v>12</v>
      </c>
      <c r="AM70" s="179">
        <f t="shared" si="79"/>
        <v>0</v>
      </c>
      <c r="AN70" s="179"/>
      <c r="AO70" s="179">
        <f t="shared" si="79"/>
        <v>0</v>
      </c>
      <c r="AP70" s="323">
        <f t="shared" si="79"/>
        <v>1324</v>
      </c>
      <c r="AQ70" s="473">
        <f aca="true" t="shared" si="80" ref="AQ70:AW70">SUM(AQ66:AQ68)</f>
        <v>916</v>
      </c>
      <c r="AR70" s="179">
        <f t="shared" si="80"/>
        <v>82</v>
      </c>
      <c r="AS70" s="179">
        <f t="shared" si="80"/>
        <v>18</v>
      </c>
      <c r="AT70" s="179">
        <f t="shared" si="80"/>
        <v>60</v>
      </c>
      <c r="AU70" s="179"/>
      <c r="AV70" s="179">
        <f t="shared" si="80"/>
        <v>0</v>
      </c>
      <c r="AW70" s="179">
        <f t="shared" si="80"/>
        <v>756</v>
      </c>
      <c r="AX70" s="474" t="e">
        <f aca="true" t="shared" si="81" ref="AX70:BF70">SUM(AX66:AX68)</f>
        <v>#REF!</v>
      </c>
      <c r="AY70" s="179" t="e">
        <f t="shared" si="81"/>
        <v>#REF!</v>
      </c>
      <c r="AZ70" s="179" t="e">
        <f t="shared" si="81"/>
        <v>#REF!</v>
      </c>
      <c r="BA70" s="179" t="e">
        <f t="shared" si="81"/>
        <v>#REF!</v>
      </c>
      <c r="BB70" s="179" t="e">
        <f t="shared" si="81"/>
        <v>#REF!</v>
      </c>
      <c r="BC70" s="179"/>
      <c r="BD70" s="179" t="e">
        <f t="shared" si="81"/>
        <v>#REF!</v>
      </c>
      <c r="BE70" s="179" t="e">
        <f t="shared" si="81"/>
        <v>#REF!</v>
      </c>
      <c r="BF70" s="323" t="e">
        <f t="shared" si="81"/>
        <v>#REF!</v>
      </c>
      <c r="BG70" s="475"/>
      <c r="BH70" s="475"/>
    </row>
    <row r="71" spans="1:58" ht="12.75">
      <c r="A71" s="177"/>
      <c r="B71" s="689" t="s">
        <v>176</v>
      </c>
      <c r="C71" s="690"/>
      <c r="D71" s="690"/>
      <c r="E71" s="690"/>
      <c r="F71" s="690"/>
      <c r="G71" s="690"/>
      <c r="H71" s="690"/>
      <c r="I71" s="690"/>
      <c r="J71" s="690"/>
      <c r="K71" s="690"/>
      <c r="L71" s="690"/>
      <c r="M71" s="690"/>
      <c r="N71" s="699">
        <f>COUNTIF(N11:N14,"&gt;0")+COUNTIF(N16:N17,"&gt;0")+COUNTIF(N20:N27,"&gt;0")+COUNTIF(N30:N33,"&gt;0")+COUNTIF(N35:N38,"&gt;0")+COUNTIF(N40:N42,"&gt;0")+COUNTIF(N45:N45,"&gt;0")</f>
        <v>24</v>
      </c>
      <c r="O71" s="700"/>
      <c r="P71" s="700"/>
      <c r="Q71" s="700"/>
      <c r="R71" s="700"/>
      <c r="S71" s="700"/>
      <c r="T71" s="700"/>
      <c r="U71" s="700"/>
      <c r="V71" s="701">
        <f>COUNTIF(V11:V14,"&gt;0")+COUNTIF(V16:V17,"&gt;0")+COUNTIF(V20:V27,"&gt;0")+COUNTIF(V30:V33,"&gt;0")+COUNTIF(V40:V42,"&gt;0")+COUNTIF(V35:V36,"&gt;0")+COUNTIF(V45:V45,"&gt;0")+COUNTIF(V48:V53,"&gt;0")</f>
        <v>12</v>
      </c>
      <c r="W71" s="702"/>
      <c r="X71" s="702"/>
      <c r="Y71" s="702"/>
      <c r="Z71" s="702"/>
      <c r="AA71" s="702"/>
      <c r="AB71" s="703"/>
      <c r="AC71" s="701">
        <f>COUNTIF(AC11:AC14,"&gt;0")+COUNTIF(AC16:AC17,"&gt;0")+COUNTIF(AC20:AC27,"&gt;0")+COUNTIF(AC30:AC33,"&gt;0")+COUNTIF(AC40:AC42,"&gt;0")+COUNTIF(AC35:AC36,"&gt;0")+COUNTIF(AC45:AC45,"&gt;0")+COUNTIF(AC48:AC53,"&gt;0")</f>
        <v>10</v>
      </c>
      <c r="AD71" s="702"/>
      <c r="AE71" s="702"/>
      <c r="AF71" s="702"/>
      <c r="AG71" s="702"/>
      <c r="AH71" s="702"/>
      <c r="AI71" s="703"/>
      <c r="AJ71" s="702">
        <f>COUNTIF(AJ11:AJ14,"&gt;0")+COUNTIF(AJ16:AJ17,"&gt;0")+COUNTIF(AJ20:AJ27,"&gt;0")+COUNTIF(AJ30:AJ33,"&gt;0")+COUNTIF(AJ40:AJ42,"&gt;0")+COUNTIF(AJ35:AJ36,"&gt;0")+COUNTIF(AJ45:AJ45,"&gt;0")+COUNTIF(AJ48:AJ53,"&gt;0")</f>
        <v>12</v>
      </c>
      <c r="AK71" s="702"/>
      <c r="AL71" s="702"/>
      <c r="AM71" s="702"/>
      <c r="AN71" s="702"/>
      <c r="AO71" s="702"/>
      <c r="AP71" s="702"/>
      <c r="AQ71" s="701">
        <f>COUNTIF(AQ11:AQ14,"&gt;0")+COUNTIF(AQ16:AQ17,"&gt;0")+COUNTIF(AQ20:AQ27,"&gt;0")+COUNTIF(AQ30:AQ33,"&gt;0")+COUNTIF(AQ40:AQ42,"&gt;0")+COUNTIF(AQ35:AQ36,"&gt;0")+COUNTIF(AQ45:AQ45,"&gt;0")+COUNTIF(AQ48:AQ53,"&gt;0")</f>
        <v>7</v>
      </c>
      <c r="AR71" s="702"/>
      <c r="AS71" s="702"/>
      <c r="AT71" s="702"/>
      <c r="AU71" s="702"/>
      <c r="AV71" s="702"/>
      <c r="AW71" s="703"/>
      <c r="AX71" s="702">
        <f>COUNTIF(AX11:AX14,"&gt;0")+COUNTIF(AX16:AX17,"&gt;0")+COUNTIF(AX20:AX27,"&gt;0")+COUNTIF(AX30:AX33,"&gt;0")+COUNTIF(AX40:AX42,"&gt;0")+COUNTIF(AX35:AX36,"&gt;0")+COUNTIF(AX45:AX45,"&gt;0")+COUNTIF(AX48:AX53,"&gt;0")</f>
        <v>0</v>
      </c>
      <c r="AY71" s="702"/>
      <c r="AZ71" s="702"/>
      <c r="BA71" s="702"/>
      <c r="BB71" s="702"/>
      <c r="BC71" s="702"/>
      <c r="BD71" s="702"/>
      <c r="BE71" s="702"/>
      <c r="BF71" s="718"/>
    </row>
    <row r="72" spans="1:58" ht="12.75">
      <c r="A72" s="177"/>
      <c r="B72" s="689" t="s">
        <v>73</v>
      </c>
      <c r="C72" s="690"/>
      <c r="D72" s="690"/>
      <c r="E72" s="690"/>
      <c r="F72" s="690"/>
      <c r="G72" s="690"/>
      <c r="H72" s="690"/>
      <c r="I72" s="690"/>
      <c r="J72" s="690"/>
      <c r="K72" s="690"/>
      <c r="L72" s="690"/>
      <c r="M72" s="690"/>
      <c r="N72" s="691">
        <f>COUNTIF(N57:N57,"&gt;0")</f>
        <v>1</v>
      </c>
      <c r="O72" s="692"/>
      <c r="P72" s="692"/>
      <c r="Q72" s="692"/>
      <c r="R72" s="692"/>
      <c r="S72" s="692"/>
      <c r="T72" s="692"/>
      <c r="U72" s="693"/>
      <c r="V72" s="694">
        <f>COUNTIF(V57:V58,"&gt;0")</f>
        <v>0</v>
      </c>
      <c r="W72" s="695"/>
      <c r="X72" s="695"/>
      <c r="Y72" s="695"/>
      <c r="Z72" s="695"/>
      <c r="AA72" s="695"/>
      <c r="AB72" s="696"/>
      <c r="AC72" s="694">
        <f>COUNTIF(AC57:AC58,"&gt;0")</f>
        <v>0</v>
      </c>
      <c r="AD72" s="695"/>
      <c r="AE72" s="695"/>
      <c r="AF72" s="695"/>
      <c r="AG72" s="695"/>
      <c r="AH72" s="695"/>
      <c r="AI72" s="696"/>
      <c r="AJ72" s="697">
        <f>COUNTIF(AJ57:AJ58,"&gt;0")</f>
        <v>1</v>
      </c>
      <c r="AK72" s="695"/>
      <c r="AL72" s="695"/>
      <c r="AM72" s="695"/>
      <c r="AN72" s="695"/>
      <c r="AO72" s="695"/>
      <c r="AP72" s="698"/>
      <c r="AQ72" s="694">
        <f>COUNTIF(AQ57:AQ58,"&gt;0")</f>
        <v>2</v>
      </c>
      <c r="AR72" s="695"/>
      <c r="AS72" s="695"/>
      <c r="AT72" s="695"/>
      <c r="AU72" s="695"/>
      <c r="AV72" s="695"/>
      <c r="AW72" s="696"/>
      <c r="AX72" s="697" t="e">
        <f>COUNTIF(#REF!,"&gt;0")+COUNTIF(AX57:AX57,"&gt;0")</f>
        <v>#REF!</v>
      </c>
      <c r="AY72" s="695"/>
      <c r="AZ72" s="695"/>
      <c r="BA72" s="695"/>
      <c r="BB72" s="695"/>
      <c r="BC72" s="695"/>
      <c r="BD72" s="695"/>
      <c r="BE72" s="695"/>
      <c r="BF72" s="698"/>
    </row>
    <row r="73" spans="1:58" ht="12.75">
      <c r="A73" s="180"/>
      <c r="B73" s="689" t="s">
        <v>179</v>
      </c>
      <c r="C73" s="690"/>
      <c r="D73" s="690"/>
      <c r="E73" s="690"/>
      <c r="F73" s="690"/>
      <c r="G73" s="690"/>
      <c r="H73" s="690"/>
      <c r="I73" s="690"/>
      <c r="J73" s="690"/>
      <c r="K73" s="690"/>
      <c r="L73" s="690"/>
      <c r="M73" s="690"/>
      <c r="N73" s="707">
        <f>N70/(Y3+AH3+AM3+AT3)</f>
        <v>35.7</v>
      </c>
      <c r="O73" s="708"/>
      <c r="P73" s="708"/>
      <c r="Q73" s="708"/>
      <c r="R73" s="708"/>
      <c r="S73" s="708"/>
      <c r="T73" s="708"/>
      <c r="U73" s="709"/>
      <c r="V73" s="710">
        <f>V70/Y3</f>
        <v>29.9</v>
      </c>
      <c r="W73" s="711"/>
      <c r="X73" s="711"/>
      <c r="Y73" s="711"/>
      <c r="Z73" s="711"/>
      <c r="AA73" s="711"/>
      <c r="AB73" s="712"/>
      <c r="AC73" s="710">
        <f>AC70/AH3</f>
        <v>46.1</v>
      </c>
      <c r="AD73" s="711"/>
      <c r="AE73" s="711"/>
      <c r="AF73" s="711"/>
      <c r="AG73" s="711"/>
      <c r="AH73" s="711"/>
      <c r="AI73" s="712"/>
      <c r="AJ73" s="713">
        <f>AJ70/AM3</f>
        <v>37.1</v>
      </c>
      <c r="AK73" s="711"/>
      <c r="AL73" s="711"/>
      <c r="AM73" s="711"/>
      <c r="AN73" s="711"/>
      <c r="AO73" s="711"/>
      <c r="AP73" s="714"/>
      <c r="AQ73" s="710">
        <f>AQ70/AT3</f>
        <v>22.9</v>
      </c>
      <c r="AR73" s="711"/>
      <c r="AS73" s="711"/>
      <c r="AT73" s="711"/>
      <c r="AU73" s="711"/>
      <c r="AV73" s="711"/>
      <c r="AW73" s="712"/>
      <c r="AX73" s="713" t="e">
        <f>AX70/BB3</f>
        <v>#REF!</v>
      </c>
      <c r="AY73" s="711"/>
      <c r="AZ73" s="711"/>
      <c r="BA73" s="711"/>
      <c r="BB73" s="711"/>
      <c r="BC73" s="711"/>
      <c r="BD73" s="711"/>
      <c r="BE73" s="711"/>
      <c r="BF73" s="714"/>
    </row>
    <row r="74" spans="1:58" ht="12.75">
      <c r="A74" s="181"/>
      <c r="B74" s="689" t="s">
        <v>174</v>
      </c>
      <c r="C74" s="690"/>
      <c r="D74" s="690"/>
      <c r="E74" s="690"/>
      <c r="F74" s="690"/>
      <c r="G74" s="690"/>
      <c r="H74" s="690"/>
      <c r="I74" s="690"/>
      <c r="J74" s="690"/>
      <c r="K74" s="690"/>
      <c r="L74" s="690"/>
      <c r="M74" s="690"/>
      <c r="N74" s="707">
        <f>IF('[1]Титульный лист (заочная)'!BD29=0,0,IF(N66=0,0,N66/(Y3+AH3+AM3+AT3)))</f>
        <v>32.4</v>
      </c>
      <c r="O74" s="708"/>
      <c r="P74" s="708"/>
      <c r="Q74" s="708"/>
      <c r="R74" s="708"/>
      <c r="S74" s="708"/>
      <c r="T74" s="708"/>
      <c r="U74" s="709"/>
      <c r="V74" s="716">
        <f>SUM(W66:Y66)/Y3*6</f>
        <v>32</v>
      </c>
      <c r="W74" s="715"/>
      <c r="X74" s="715"/>
      <c r="Y74" s="715"/>
      <c r="Z74" s="715"/>
      <c r="AA74" s="715"/>
      <c r="AB74" s="717"/>
      <c r="AC74" s="716">
        <f>SUM(AD66:AF66)/AH3*6</f>
        <v>32</v>
      </c>
      <c r="AD74" s="715"/>
      <c r="AE74" s="715"/>
      <c r="AF74" s="715"/>
      <c r="AG74" s="715"/>
      <c r="AH74" s="715"/>
      <c r="AI74" s="717"/>
      <c r="AJ74" s="715">
        <f>SUM(AK66:AM66)/AM3*6</f>
        <v>24</v>
      </c>
      <c r="AK74" s="715"/>
      <c r="AL74" s="715"/>
      <c r="AM74" s="715"/>
      <c r="AN74" s="715"/>
      <c r="AO74" s="715"/>
      <c r="AP74" s="715"/>
      <c r="AQ74" s="716">
        <f>SUM(AR66:AT66)/AT3*6</f>
        <v>24</v>
      </c>
      <c r="AR74" s="715"/>
      <c r="AS74" s="715"/>
      <c r="AT74" s="715"/>
      <c r="AU74" s="715"/>
      <c r="AV74" s="715"/>
      <c r="AW74" s="717"/>
      <c r="AX74" s="715">
        <f>SUM(AZ66:BB66)/BB3*7</f>
        <v>0</v>
      </c>
      <c r="AY74" s="715"/>
      <c r="AZ74" s="715"/>
      <c r="BA74" s="715"/>
      <c r="BB74" s="715"/>
      <c r="BC74" s="715"/>
      <c r="BD74" s="715"/>
      <c r="BE74" s="715"/>
      <c r="BF74" s="713"/>
    </row>
    <row r="75" spans="1:58" ht="12.75">
      <c r="A75" s="181"/>
      <c r="B75" s="689" t="s">
        <v>173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9">
        <f>V75+AC75+AJ75+AQ75</f>
        <v>10</v>
      </c>
      <c r="O75" s="700"/>
      <c r="P75" s="700"/>
      <c r="Q75" s="700"/>
      <c r="R75" s="700"/>
      <c r="S75" s="700"/>
      <c r="T75" s="700"/>
      <c r="U75" s="700"/>
      <c r="V75" s="701">
        <f>COUNTIF($D$9:$D$54,"*1*")</f>
        <v>1</v>
      </c>
      <c r="W75" s="702"/>
      <c r="X75" s="702"/>
      <c r="Y75" s="702"/>
      <c r="Z75" s="702"/>
      <c r="AA75" s="702"/>
      <c r="AB75" s="703"/>
      <c r="AC75" s="701">
        <f>COUNTIF($D$9:$D$54,"*2*")</f>
        <v>2</v>
      </c>
      <c r="AD75" s="702"/>
      <c r="AE75" s="702"/>
      <c r="AF75" s="702"/>
      <c r="AG75" s="702"/>
      <c r="AH75" s="702"/>
      <c r="AI75" s="703"/>
      <c r="AJ75" s="702">
        <f>COUNTIF($D$9:$D$54,"*3*")</f>
        <v>2</v>
      </c>
      <c r="AK75" s="702"/>
      <c r="AL75" s="702"/>
      <c r="AM75" s="702"/>
      <c r="AN75" s="702"/>
      <c r="AO75" s="702"/>
      <c r="AP75" s="702"/>
      <c r="AQ75" s="701">
        <f>COUNTIF($D$9:$D$54,"*4*")</f>
        <v>5</v>
      </c>
      <c r="AR75" s="719"/>
      <c r="AS75" s="719"/>
      <c r="AT75" s="719"/>
      <c r="AU75" s="719"/>
      <c r="AV75" s="719"/>
      <c r="AW75" s="720"/>
      <c r="AX75" s="702">
        <f>COUNTIF($D$9:$D$47,"*5*")</f>
        <v>0</v>
      </c>
      <c r="AY75" s="702"/>
      <c r="AZ75" s="702"/>
      <c r="BA75" s="702"/>
      <c r="BB75" s="702"/>
      <c r="BC75" s="702"/>
      <c r="BD75" s="702"/>
      <c r="BE75" s="702"/>
      <c r="BF75" s="697"/>
    </row>
    <row r="76" spans="1:58" ht="12.75">
      <c r="A76" s="177"/>
      <c r="B76" s="689" t="s">
        <v>172</v>
      </c>
      <c r="C76" s="690"/>
      <c r="D76" s="690"/>
      <c r="E76" s="690"/>
      <c r="F76" s="690"/>
      <c r="G76" s="690"/>
      <c r="H76" s="690"/>
      <c r="I76" s="690"/>
      <c r="J76" s="690"/>
      <c r="K76" s="690"/>
      <c r="L76" s="690"/>
      <c r="M76" s="690"/>
      <c r="N76" s="699">
        <f>V76+AC76+AJ76+AQ76</f>
        <v>27</v>
      </c>
      <c r="O76" s="700"/>
      <c r="P76" s="700"/>
      <c r="Q76" s="700"/>
      <c r="R76" s="700"/>
      <c r="S76" s="700"/>
      <c r="T76" s="700"/>
      <c r="U76" s="700"/>
      <c r="V76" s="701">
        <f>COUNTIF($E$9:$F$54,"*1*")</f>
        <v>5</v>
      </c>
      <c r="W76" s="702"/>
      <c r="X76" s="702"/>
      <c r="Y76" s="702"/>
      <c r="Z76" s="702"/>
      <c r="AA76" s="702"/>
      <c r="AB76" s="703"/>
      <c r="AC76" s="701">
        <f>COUNTIF($E$9:$F$54,"*2*")</f>
        <v>8</v>
      </c>
      <c r="AD76" s="702"/>
      <c r="AE76" s="702"/>
      <c r="AF76" s="702"/>
      <c r="AG76" s="702"/>
      <c r="AH76" s="702"/>
      <c r="AI76" s="703"/>
      <c r="AJ76" s="702">
        <f>COUNTIF($E$9:$F$54,"*3*")</f>
        <v>7</v>
      </c>
      <c r="AK76" s="702"/>
      <c r="AL76" s="702"/>
      <c r="AM76" s="702"/>
      <c r="AN76" s="702"/>
      <c r="AO76" s="702"/>
      <c r="AP76" s="702"/>
      <c r="AQ76" s="701">
        <f>COUNTIF($E$9:$F$54,"*4*")</f>
        <v>7</v>
      </c>
      <c r="AR76" s="719"/>
      <c r="AS76" s="719"/>
      <c r="AT76" s="719"/>
      <c r="AU76" s="719"/>
      <c r="AV76" s="719"/>
      <c r="AW76" s="720"/>
      <c r="AX76" s="702">
        <f>COUNTIF($E$9:$E$47,"*5*")</f>
        <v>0</v>
      </c>
      <c r="AY76" s="702"/>
      <c r="AZ76" s="702"/>
      <c r="BA76" s="702"/>
      <c r="BB76" s="702"/>
      <c r="BC76" s="702"/>
      <c r="BD76" s="702"/>
      <c r="BE76" s="702"/>
      <c r="BF76" s="697"/>
    </row>
    <row r="77" spans="1:58" ht="12.75">
      <c r="A77" s="177"/>
      <c r="B77" s="725" t="s">
        <v>458</v>
      </c>
      <c r="C77" s="690"/>
      <c r="D77" s="690"/>
      <c r="E77" s="690"/>
      <c r="F77" s="690"/>
      <c r="G77" s="690"/>
      <c r="H77" s="690"/>
      <c r="I77" s="690"/>
      <c r="J77" s="690"/>
      <c r="K77" s="690"/>
      <c r="L77" s="690"/>
      <c r="M77" s="690"/>
      <c r="N77" s="699">
        <f>V77+AC77+AJ77+AQ77</f>
        <v>3</v>
      </c>
      <c r="O77" s="700"/>
      <c r="P77" s="700"/>
      <c r="Q77" s="700"/>
      <c r="R77" s="700"/>
      <c r="S77" s="700"/>
      <c r="T77" s="700"/>
      <c r="U77" s="700"/>
      <c r="V77" s="721">
        <f>COUNTIF($H$9:$H$54,"*1*")</f>
        <v>0</v>
      </c>
      <c r="W77" s="722"/>
      <c r="X77" s="722"/>
      <c r="Y77" s="722"/>
      <c r="Z77" s="722"/>
      <c r="AA77" s="722"/>
      <c r="AB77" s="723"/>
      <c r="AC77" s="721">
        <f>COUNTIF($H$9:$H$54,"*2*")</f>
        <v>0</v>
      </c>
      <c r="AD77" s="722"/>
      <c r="AE77" s="722"/>
      <c r="AF77" s="722"/>
      <c r="AG77" s="722"/>
      <c r="AH77" s="722"/>
      <c r="AI77" s="723"/>
      <c r="AJ77" s="722">
        <f>COUNTIF($H$9:$H$54,"*3*")</f>
        <v>0</v>
      </c>
      <c r="AK77" s="722"/>
      <c r="AL77" s="722"/>
      <c r="AM77" s="722"/>
      <c r="AN77" s="722"/>
      <c r="AO77" s="722"/>
      <c r="AP77" s="722"/>
      <c r="AQ77" s="721">
        <f>COUNTIF($H$9:$H$54,"*4*")</f>
        <v>3</v>
      </c>
      <c r="AR77" s="722"/>
      <c r="AS77" s="722"/>
      <c r="AT77" s="722"/>
      <c r="AU77" s="722"/>
      <c r="AV77" s="722"/>
      <c r="AW77" s="723"/>
      <c r="AX77" s="722">
        <f>COUNTIF($H$9:$H$47,"*5*")</f>
        <v>0</v>
      </c>
      <c r="AY77" s="722"/>
      <c r="AZ77" s="722"/>
      <c r="BA77" s="722"/>
      <c r="BB77" s="722"/>
      <c r="BC77" s="722"/>
      <c r="BD77" s="722"/>
      <c r="BE77" s="722"/>
      <c r="BF77" s="724"/>
    </row>
    <row r="78" spans="1:58" ht="12.75">
      <c r="A78" s="182"/>
      <c r="B78" s="725" t="s">
        <v>463</v>
      </c>
      <c r="C78" s="690"/>
      <c r="D78" s="690"/>
      <c r="E78" s="690"/>
      <c r="F78" s="690"/>
      <c r="G78" s="690"/>
      <c r="H78" s="690"/>
      <c r="I78" s="690"/>
      <c r="J78" s="690"/>
      <c r="K78" s="690"/>
      <c r="L78" s="690"/>
      <c r="M78" s="690"/>
      <c r="N78" s="699">
        <f>V78+AC78+AJ78+AQ78</f>
        <v>12</v>
      </c>
      <c r="O78" s="700"/>
      <c r="P78" s="700"/>
      <c r="Q78" s="700"/>
      <c r="R78" s="700"/>
      <c r="S78" s="700"/>
      <c r="T78" s="700"/>
      <c r="U78" s="700"/>
      <c r="V78" s="721">
        <f>COUNTIF($I$9:$I$54,"*1*")</f>
        <v>7</v>
      </c>
      <c r="W78" s="722"/>
      <c r="X78" s="722"/>
      <c r="Y78" s="722"/>
      <c r="Z78" s="722"/>
      <c r="AA78" s="722"/>
      <c r="AB78" s="723"/>
      <c r="AC78" s="721">
        <f>COUNTIF($I$9:$I$54,"*2*")</f>
        <v>2</v>
      </c>
      <c r="AD78" s="722"/>
      <c r="AE78" s="722"/>
      <c r="AF78" s="722"/>
      <c r="AG78" s="722"/>
      <c r="AH78" s="722"/>
      <c r="AI78" s="723"/>
      <c r="AJ78" s="722">
        <f>COUNTIF($I$9:$I$47,"*3*")</f>
        <v>3</v>
      </c>
      <c r="AK78" s="722"/>
      <c r="AL78" s="722"/>
      <c r="AM78" s="722"/>
      <c r="AN78" s="722"/>
      <c r="AO78" s="722"/>
      <c r="AP78" s="722"/>
      <c r="AQ78" s="721">
        <f>COUNTIF($I$9:$I$54,"*4*")</f>
        <v>0</v>
      </c>
      <c r="AR78" s="722"/>
      <c r="AS78" s="722"/>
      <c r="AT78" s="722"/>
      <c r="AU78" s="722"/>
      <c r="AV78" s="722"/>
      <c r="AW78" s="723"/>
      <c r="AX78" s="722">
        <f>COUNTIF($I$9:$I$47,"*5*")</f>
        <v>0</v>
      </c>
      <c r="AY78" s="722"/>
      <c r="AZ78" s="722"/>
      <c r="BA78" s="722"/>
      <c r="BB78" s="722"/>
      <c r="BC78" s="722"/>
      <c r="BD78" s="722"/>
      <c r="BE78" s="722"/>
      <c r="BF78" s="724"/>
    </row>
    <row r="81" spans="1:7" ht="12.75" hidden="1">
      <c r="A81" s="628" t="s">
        <v>198</v>
      </c>
      <c r="B81" s="628"/>
      <c r="C81" s="629" t="s">
        <v>199</v>
      </c>
      <c r="D81" s="629"/>
      <c r="E81" s="629" t="s">
        <v>219</v>
      </c>
      <c r="F81" s="629"/>
      <c r="G81" s="407"/>
    </row>
    <row r="82" spans="1:7" ht="12.75" hidden="1">
      <c r="A82" s="72">
        <v>1</v>
      </c>
      <c r="B82" s="72">
        <v>11</v>
      </c>
      <c r="C82" s="73">
        <v>2</v>
      </c>
      <c r="D82" s="74" t="s">
        <v>39</v>
      </c>
      <c r="E82" s="73">
        <v>2</v>
      </c>
      <c r="F82" s="74" t="s">
        <v>38</v>
      </c>
      <c r="G82" s="413"/>
    </row>
    <row r="83" spans="1:7" ht="39" hidden="1">
      <c r="A83" s="72" t="s">
        <v>180</v>
      </c>
      <c r="B83" s="72" t="s">
        <v>109</v>
      </c>
      <c r="C83" s="72" t="s">
        <v>5</v>
      </c>
      <c r="D83" s="75" t="s">
        <v>201</v>
      </c>
      <c r="E83" s="72" t="s">
        <v>5</v>
      </c>
      <c r="F83" s="75" t="s">
        <v>201</v>
      </c>
      <c r="G83" s="414"/>
    </row>
    <row r="84" spans="1:7" ht="12.75" hidden="1">
      <c r="A84" s="72">
        <v>1</v>
      </c>
      <c r="B84" s="72">
        <v>21</v>
      </c>
      <c r="C84" s="73">
        <v>2</v>
      </c>
      <c r="D84" s="74" t="s">
        <v>39</v>
      </c>
      <c r="E84" s="73">
        <v>2</v>
      </c>
      <c r="F84" s="74" t="s">
        <v>38</v>
      </c>
      <c r="G84" s="413"/>
    </row>
    <row r="85" spans="1:7" ht="39" hidden="1">
      <c r="A85" s="72" t="s">
        <v>180</v>
      </c>
      <c r="B85" s="72" t="s">
        <v>109</v>
      </c>
      <c r="C85" s="72" t="s">
        <v>5</v>
      </c>
      <c r="D85" s="75" t="s">
        <v>202</v>
      </c>
      <c r="E85" s="72" t="s">
        <v>5</v>
      </c>
      <c r="F85" s="75" t="s">
        <v>202</v>
      </c>
      <c r="G85" s="414"/>
    </row>
    <row r="86" spans="1:7" ht="12.75" hidden="1">
      <c r="A86" s="72">
        <v>1</v>
      </c>
      <c r="B86" s="72">
        <v>30</v>
      </c>
      <c r="C86" s="73">
        <v>2</v>
      </c>
      <c r="D86" s="74" t="s">
        <v>39</v>
      </c>
      <c r="E86" s="73">
        <v>2</v>
      </c>
      <c r="F86" s="74" t="s">
        <v>38</v>
      </c>
      <c r="G86" s="413"/>
    </row>
    <row r="87" spans="1:7" ht="39" hidden="1">
      <c r="A87" s="72" t="s">
        <v>180</v>
      </c>
      <c r="B87" s="72" t="s">
        <v>109</v>
      </c>
      <c r="C87" s="72" t="s">
        <v>5</v>
      </c>
      <c r="D87" s="75" t="s">
        <v>203</v>
      </c>
      <c r="E87" s="72" t="s">
        <v>5</v>
      </c>
      <c r="F87" s="75" t="s">
        <v>203</v>
      </c>
      <c r="G87" s="414"/>
    </row>
    <row r="88" spans="1:7" ht="12.75" hidden="1">
      <c r="A88" s="72">
        <v>1</v>
      </c>
      <c r="B88" s="72">
        <v>39</v>
      </c>
      <c r="C88" s="73">
        <v>2</v>
      </c>
      <c r="D88" s="74" t="s">
        <v>39</v>
      </c>
      <c r="E88" s="73">
        <v>2</v>
      </c>
      <c r="F88" s="74" t="s">
        <v>38</v>
      </c>
      <c r="G88" s="413"/>
    </row>
    <row r="89" spans="1:7" ht="39" hidden="1">
      <c r="A89" s="72" t="s">
        <v>180</v>
      </c>
      <c r="B89" s="72" t="s">
        <v>109</v>
      </c>
      <c r="C89" s="72" t="s">
        <v>5</v>
      </c>
      <c r="D89" s="75" t="s">
        <v>204</v>
      </c>
      <c r="E89" s="72" t="s">
        <v>5</v>
      </c>
      <c r="F89" s="75" t="s">
        <v>204</v>
      </c>
      <c r="G89" s="414"/>
    </row>
    <row r="90" spans="1:7" ht="12.75" hidden="1">
      <c r="A90" s="72">
        <v>1</v>
      </c>
      <c r="B90" s="72">
        <v>48</v>
      </c>
      <c r="C90" s="73">
        <v>2</v>
      </c>
      <c r="D90" s="74" t="s">
        <v>39</v>
      </c>
      <c r="E90" s="73">
        <v>2</v>
      </c>
      <c r="F90" s="74" t="s">
        <v>38</v>
      </c>
      <c r="G90" s="413"/>
    </row>
    <row r="91" spans="1:7" ht="39" hidden="1">
      <c r="A91" s="72" t="s">
        <v>180</v>
      </c>
      <c r="B91" s="72" t="s">
        <v>109</v>
      </c>
      <c r="C91" s="72" t="s">
        <v>5</v>
      </c>
      <c r="D91" s="75" t="s">
        <v>205</v>
      </c>
      <c r="E91" s="72" t="s">
        <v>5</v>
      </c>
      <c r="F91" s="75" t="s">
        <v>205</v>
      </c>
      <c r="G91" s="414"/>
    </row>
    <row r="92" spans="1:7" ht="12.75" hidden="1">
      <c r="A92" s="72">
        <v>1</v>
      </c>
      <c r="B92" s="72">
        <v>57</v>
      </c>
      <c r="C92" s="73">
        <v>2</v>
      </c>
      <c r="D92" s="74" t="s">
        <v>39</v>
      </c>
      <c r="E92" s="73">
        <v>2</v>
      </c>
      <c r="F92" s="74" t="s">
        <v>38</v>
      </c>
      <c r="G92" s="413"/>
    </row>
    <row r="93" spans="1:7" ht="39" hidden="1">
      <c r="A93" s="72" t="s">
        <v>180</v>
      </c>
      <c r="B93" s="72" t="s">
        <v>109</v>
      </c>
      <c r="C93" s="72" t="s">
        <v>5</v>
      </c>
      <c r="D93" s="75" t="s">
        <v>206</v>
      </c>
      <c r="E93" s="72" t="s">
        <v>5</v>
      </c>
      <c r="F93" s="75" t="s">
        <v>206</v>
      </c>
      <c r="G93" s="414"/>
    </row>
    <row r="94" spans="1:7" ht="12.75" hidden="1">
      <c r="A94" s="72">
        <v>1</v>
      </c>
      <c r="B94" s="72">
        <v>66</v>
      </c>
      <c r="C94" s="73">
        <v>2</v>
      </c>
      <c r="D94" s="74" t="s">
        <v>39</v>
      </c>
      <c r="E94" s="73">
        <v>2</v>
      </c>
      <c r="F94" s="74" t="s">
        <v>38</v>
      </c>
      <c r="G94" s="413"/>
    </row>
    <row r="95" spans="1:7" ht="39" hidden="1">
      <c r="A95" s="72" t="s">
        <v>180</v>
      </c>
      <c r="B95" s="72" t="s">
        <v>109</v>
      </c>
      <c r="C95" s="72" t="s">
        <v>5</v>
      </c>
      <c r="D95" s="75" t="s">
        <v>207</v>
      </c>
      <c r="E95" s="72" t="s">
        <v>5</v>
      </c>
      <c r="F95" s="75" t="s">
        <v>207</v>
      </c>
      <c r="G95" s="414"/>
    </row>
    <row r="96" spans="1:7" ht="12.75" hidden="1">
      <c r="A96" s="72">
        <v>1</v>
      </c>
      <c r="B96" s="72">
        <v>75</v>
      </c>
      <c r="C96" s="73">
        <v>2</v>
      </c>
      <c r="D96" s="74" t="s">
        <v>39</v>
      </c>
      <c r="E96" s="73">
        <v>2</v>
      </c>
      <c r="F96" s="74" t="s">
        <v>38</v>
      </c>
      <c r="G96" s="413"/>
    </row>
    <row r="97" spans="1:7" ht="39" hidden="1">
      <c r="A97" s="72" t="s">
        <v>180</v>
      </c>
      <c r="B97" s="72" t="s">
        <v>109</v>
      </c>
      <c r="C97" s="72" t="s">
        <v>5</v>
      </c>
      <c r="D97" s="75" t="s">
        <v>208</v>
      </c>
      <c r="E97" s="72" t="s">
        <v>5</v>
      </c>
      <c r="F97" s="75" t="s">
        <v>208</v>
      </c>
      <c r="G97" s="414"/>
    </row>
    <row r="98" spans="1:7" ht="12.75" hidden="1">
      <c r="A98" s="72">
        <v>1</v>
      </c>
      <c r="B98" s="72">
        <v>84</v>
      </c>
      <c r="C98" s="73">
        <v>2</v>
      </c>
      <c r="D98" s="74" t="s">
        <v>39</v>
      </c>
      <c r="E98" s="73">
        <v>2</v>
      </c>
      <c r="F98" s="74" t="s">
        <v>38</v>
      </c>
      <c r="G98" s="413"/>
    </row>
    <row r="99" spans="1:7" ht="39" hidden="1">
      <c r="A99" s="72" t="s">
        <v>180</v>
      </c>
      <c r="B99" s="72" t="s">
        <v>109</v>
      </c>
      <c r="C99" s="72" t="s">
        <v>5</v>
      </c>
      <c r="D99" s="75" t="s">
        <v>209</v>
      </c>
      <c r="E99" s="72" t="s">
        <v>5</v>
      </c>
      <c r="F99" s="75" t="s">
        <v>209</v>
      </c>
      <c r="G99" s="414"/>
    </row>
    <row r="100" spans="1:7" ht="12.75" hidden="1">
      <c r="A100" s="72">
        <v>1</v>
      </c>
      <c r="B100" s="72">
        <v>93</v>
      </c>
      <c r="C100" s="73">
        <v>2</v>
      </c>
      <c r="D100" s="74" t="s">
        <v>39</v>
      </c>
      <c r="E100" s="73">
        <v>2</v>
      </c>
      <c r="F100" s="74" t="s">
        <v>38</v>
      </c>
      <c r="G100" s="413"/>
    </row>
    <row r="101" spans="1:7" ht="39" hidden="1">
      <c r="A101" s="72" t="s">
        <v>180</v>
      </c>
      <c r="B101" s="72" t="s">
        <v>109</v>
      </c>
      <c r="C101" s="72" t="s">
        <v>5</v>
      </c>
      <c r="D101" s="75" t="s">
        <v>210</v>
      </c>
      <c r="E101" s="72" t="s">
        <v>5</v>
      </c>
      <c r="F101" s="75" t="s">
        <v>210</v>
      </c>
      <c r="G101" s="414"/>
    </row>
    <row r="102" spans="1:3" ht="12.75" hidden="1">
      <c r="A102" s="72">
        <v>1</v>
      </c>
      <c r="B102" s="72">
        <v>102</v>
      </c>
      <c r="C102" s="70"/>
    </row>
    <row r="103" spans="1:3" ht="12.75" hidden="1">
      <c r="A103" s="72" t="s">
        <v>180</v>
      </c>
      <c r="B103" s="72" t="s">
        <v>109</v>
      </c>
      <c r="C103" s="70"/>
    </row>
    <row r="104" spans="23:44" ht="15" hidden="1">
      <c r="W104" s="459">
        <f>SUM(W66:Y66)</f>
        <v>160</v>
      </c>
      <c r="AD104" s="459">
        <f>SUM(AD66:AF66)</f>
        <v>160</v>
      </c>
      <c r="AK104" s="459">
        <f>SUM(AK66:AM66)</f>
        <v>160</v>
      </c>
      <c r="AR104" s="459">
        <f>SUM(AR66:AT66)</f>
        <v>160</v>
      </c>
    </row>
  </sheetData>
  <sheetProtection selectLockedCells="1" sort="0" autoFilter="0" selectUnlockedCells="1"/>
  <autoFilter ref="A8:BK62"/>
  <mergeCells count="137">
    <mergeCell ref="P3:R3"/>
    <mergeCell ref="T3:T7"/>
    <mergeCell ref="S3:S7"/>
    <mergeCell ref="AX76:BF76"/>
    <mergeCell ref="A81:B81"/>
    <mergeCell ref="C81:D81"/>
    <mergeCell ref="E81:F81"/>
    <mergeCell ref="AX77:BF77"/>
    <mergeCell ref="B78:M78"/>
    <mergeCell ref="N78:U78"/>
    <mergeCell ref="V78:AB78"/>
    <mergeCell ref="AC78:AI78"/>
    <mergeCell ref="AJ78:AP78"/>
    <mergeCell ref="AX78:BF78"/>
    <mergeCell ref="B77:M77"/>
    <mergeCell ref="N77:U77"/>
    <mergeCell ref="V77:AB77"/>
    <mergeCell ref="AC77:AI77"/>
    <mergeCell ref="AJ77:AP77"/>
    <mergeCell ref="AQ77:AW77"/>
    <mergeCell ref="AQ78:AW78"/>
    <mergeCell ref="N75:U75"/>
    <mergeCell ref="B74:M74"/>
    <mergeCell ref="N74:U74"/>
    <mergeCell ref="V74:AB74"/>
    <mergeCell ref="B76:M76"/>
    <mergeCell ref="N76:U76"/>
    <mergeCell ref="V75:AB75"/>
    <mergeCell ref="AC75:AI75"/>
    <mergeCell ref="AQ75:AW75"/>
    <mergeCell ref="AX71:BF71"/>
    <mergeCell ref="AX72:BF72"/>
    <mergeCell ref="AX73:BF73"/>
    <mergeCell ref="AQ71:AW71"/>
    <mergeCell ref="B73:M73"/>
    <mergeCell ref="V76:AB76"/>
    <mergeCell ref="AC76:AI76"/>
    <mergeCell ref="AJ76:AP76"/>
    <mergeCell ref="AQ76:AW76"/>
    <mergeCell ref="B75:M75"/>
    <mergeCell ref="AX75:BF75"/>
    <mergeCell ref="AX74:BF74"/>
    <mergeCell ref="AQ72:AW72"/>
    <mergeCell ref="AC74:AI74"/>
    <mergeCell ref="AJ75:AP75"/>
    <mergeCell ref="AQ74:AW74"/>
    <mergeCell ref="N73:U73"/>
    <mergeCell ref="V73:AB73"/>
    <mergeCell ref="AC73:AI73"/>
    <mergeCell ref="AJ73:AP73"/>
    <mergeCell ref="AQ73:AW73"/>
    <mergeCell ref="AJ74:AP74"/>
    <mergeCell ref="V71:AB71"/>
    <mergeCell ref="AC71:AI71"/>
    <mergeCell ref="AJ71:AP71"/>
    <mergeCell ref="H3:H7"/>
    <mergeCell ref="AJ5:AK5"/>
    <mergeCell ref="P4:P7"/>
    <mergeCell ref="K1:K7"/>
    <mergeCell ref="B47:I47"/>
    <mergeCell ref="V5:W5"/>
    <mergeCell ref="V6:X6"/>
    <mergeCell ref="B72:M72"/>
    <mergeCell ref="N72:U72"/>
    <mergeCell ref="V72:AB72"/>
    <mergeCell ref="AC72:AI72"/>
    <mergeCell ref="AJ72:AP72"/>
    <mergeCell ref="B67:I67"/>
    <mergeCell ref="B68:I68"/>
    <mergeCell ref="B69:I69"/>
    <mergeCell ref="B71:M71"/>
    <mergeCell ref="N71:U71"/>
    <mergeCell ref="B59:I59"/>
    <mergeCell ref="B70:I70"/>
    <mergeCell ref="A64:C64"/>
    <mergeCell ref="D3:D7"/>
    <mergeCell ref="E3:E7"/>
    <mergeCell ref="A65:C65"/>
    <mergeCell ref="B66:I66"/>
    <mergeCell ref="B28:I28"/>
    <mergeCell ref="B29:I29"/>
    <mergeCell ref="B34:I34"/>
    <mergeCell ref="R4:R7"/>
    <mergeCell ref="AY5:AZ5"/>
    <mergeCell ref="AY6:BD6"/>
    <mergeCell ref="Q4:Q7"/>
    <mergeCell ref="AT4:AV4"/>
    <mergeCell ref="AM4:AO4"/>
    <mergeCell ref="V4:W4"/>
    <mergeCell ref="AJ6:AL6"/>
    <mergeCell ref="AC5:AD5"/>
    <mergeCell ref="AC6:AE6"/>
    <mergeCell ref="N1:U1"/>
    <mergeCell ref="AH4:AI4"/>
    <mergeCell ref="AJ4:AK4"/>
    <mergeCell ref="AX3:AZ3"/>
    <mergeCell ref="AT3:AV3"/>
    <mergeCell ref="AQ3:AR3"/>
    <mergeCell ref="AC4:AD4"/>
    <mergeCell ref="AH3:AI3"/>
    <mergeCell ref="O3:O7"/>
    <mergeCell ref="AQ5:AR5"/>
    <mergeCell ref="AJ2:AP2"/>
    <mergeCell ref="BH1:BH7"/>
    <mergeCell ref="AJ3:AK3"/>
    <mergeCell ref="AX4:AZ4"/>
    <mergeCell ref="BB4:BE4"/>
    <mergeCell ref="W1:AW1"/>
    <mergeCell ref="AQ4:AR4"/>
    <mergeCell ref="BG1:BG7"/>
    <mergeCell ref="N2:N7"/>
    <mergeCell ref="U3:U7"/>
    <mergeCell ref="AX2:BF2"/>
    <mergeCell ref="AC3:AD3"/>
    <mergeCell ref="BB3:BE3"/>
    <mergeCell ref="V2:AB2"/>
    <mergeCell ref="AC2:AI2"/>
    <mergeCell ref="AQ6:AS6"/>
    <mergeCell ref="AM3:AO3"/>
    <mergeCell ref="AQ2:AW2"/>
    <mergeCell ref="L1:M6"/>
    <mergeCell ref="B19:I19"/>
    <mergeCell ref="O2:U2"/>
    <mergeCell ref="Y3:AA3"/>
    <mergeCell ref="B15:I15"/>
    <mergeCell ref="B10:I10"/>
    <mergeCell ref="B9:I9"/>
    <mergeCell ref="B18:I18"/>
    <mergeCell ref="Y4:AA4"/>
    <mergeCell ref="V3:W3"/>
    <mergeCell ref="B39:I39"/>
    <mergeCell ref="B44:I44"/>
    <mergeCell ref="A1:A7"/>
    <mergeCell ref="B1:B7"/>
    <mergeCell ref="C1:C7"/>
    <mergeCell ref="D1:I2"/>
    <mergeCell ref="I3:I7"/>
  </mergeCells>
  <conditionalFormatting sqref="BG20:BG27 BG11:BG14 BG16:BG17 BG39:BG46 BG56:BG58 BG30:BG33 BG48:BG54">
    <cfRule type="expression" priority="1" dxfId="1" stopIfTrue="1">
      <formula>AND(N11&gt;0,BG11=0)</formula>
    </cfRule>
    <cfRule type="expression" priority="2" dxfId="1" stopIfTrue="1">
      <formula>AND(N11=0,BG11&lt;&gt;0)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7" r:id="rId1"/>
  <colBreaks count="1" manualBreakCount="1">
    <brk id="6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showZeros="0" view="pageBreakPreview" zoomScale="80" zoomScaleSheetLayoutView="80" zoomScalePageLayoutView="0" workbookViewId="0" topLeftCell="A32">
      <selection activeCell="I14" sqref="I14"/>
    </sheetView>
  </sheetViews>
  <sheetFormatPr defaultColWidth="9.33203125" defaultRowHeight="12.75"/>
  <cols>
    <col min="1" max="1" width="58.16015625" style="138" customWidth="1"/>
    <col min="2" max="2" width="12.66015625" style="138" customWidth="1"/>
    <col min="3" max="3" width="15.83203125" style="138" customWidth="1"/>
    <col min="4" max="4" width="14.66015625" style="138" customWidth="1"/>
    <col min="5" max="5" width="16.16015625" style="138" customWidth="1"/>
    <col min="6" max="6" width="16.33203125" style="138" customWidth="1"/>
    <col min="7" max="7" width="15.5" style="138" customWidth="1"/>
    <col min="8" max="9" width="28.5" style="138" customWidth="1"/>
    <col min="10" max="10" width="14.5" style="138" bestFit="1" customWidth="1"/>
    <col min="11" max="16384" width="9.33203125" style="138" customWidth="1"/>
  </cols>
  <sheetData>
    <row r="1" spans="1:9" s="104" customFormat="1" ht="12.75">
      <c r="A1" s="771" t="s">
        <v>81</v>
      </c>
      <c r="B1" s="771"/>
      <c r="C1" s="771"/>
      <c r="D1" s="771"/>
      <c r="E1" s="771"/>
      <c r="F1" s="771"/>
      <c r="G1" s="771"/>
      <c r="H1" s="771"/>
      <c r="I1" s="771"/>
    </row>
    <row r="2" spans="1:9" s="104" customFormat="1" ht="24.75" customHeight="1">
      <c r="A2" s="775" t="s">
        <v>76</v>
      </c>
      <c r="B2" s="776"/>
      <c r="C2" s="777"/>
      <c r="D2" s="764" t="s">
        <v>80</v>
      </c>
      <c r="E2" s="766"/>
      <c r="F2" s="772" t="s">
        <v>82</v>
      </c>
      <c r="G2" s="772"/>
      <c r="H2" s="773" t="s">
        <v>106</v>
      </c>
      <c r="I2" s="774"/>
    </row>
    <row r="3" spans="1:9" s="104" customFormat="1" ht="66">
      <c r="A3" s="778"/>
      <c r="B3" s="779"/>
      <c r="C3" s="780"/>
      <c r="D3" s="105" t="s">
        <v>127</v>
      </c>
      <c r="E3" s="105" t="s">
        <v>178</v>
      </c>
      <c r="F3" s="105" t="s">
        <v>127</v>
      </c>
      <c r="G3" s="105" t="s">
        <v>178</v>
      </c>
      <c r="H3" s="105" t="s">
        <v>127</v>
      </c>
      <c r="I3" s="105" t="s">
        <v>178</v>
      </c>
    </row>
    <row r="4" spans="1:9" s="104" customFormat="1" ht="12.75">
      <c r="A4" s="106">
        <f>'Титульный лист (очная)'!A12:N12</f>
        <v>0</v>
      </c>
      <c r="B4" s="107"/>
      <c r="C4" s="107"/>
      <c r="D4" s="107"/>
      <c r="E4" s="107"/>
      <c r="F4" s="107"/>
      <c r="G4" s="107"/>
      <c r="H4" s="107"/>
      <c r="I4" s="108"/>
    </row>
    <row r="5" spans="1:9" s="104" customFormat="1" ht="6.75" customHeight="1">
      <c r="A5" s="109"/>
      <c r="B5" s="110"/>
      <c r="C5" s="110"/>
      <c r="D5" s="110"/>
      <c r="E5" s="110"/>
      <c r="F5" s="110"/>
      <c r="G5" s="110"/>
      <c r="H5" s="111"/>
      <c r="I5" s="112"/>
    </row>
    <row r="6" spans="1:9" s="104" customFormat="1" ht="12.75">
      <c r="A6" s="727" t="s">
        <v>417</v>
      </c>
      <c r="B6" s="728"/>
      <c r="C6" s="729"/>
      <c r="D6" s="113">
        <f>G34*G38</f>
        <v>2106</v>
      </c>
      <c r="E6" s="114">
        <v>1404</v>
      </c>
      <c r="F6" s="115">
        <f>'Учебный план (очная)'!N11</f>
        <v>2106</v>
      </c>
      <c r="G6" s="115">
        <f>'Учебный план (очная)'!O11</f>
        <v>1404</v>
      </c>
      <c r="H6" s="116" t="str">
        <f>IF(OR(D6="",E6=""),"введите данные ФГОС",IF('Учебный план (очная)'!N88=0,"заполняйте учебный план",IF(OR(D6="-",D6=F6),"норма",IF(F6&lt;D6,F6-D6,IF(F6&gt;D6,F6-D6,"норма")))))</f>
        <v>норма</v>
      </c>
      <c r="I6" s="116" t="str">
        <f>IF(OR(D6="",E6=""),"введите данные ФГОС",IF('Учебный план (очная)'!N88=0,"заполняйте учебный план",IF(OR(E6="-",E6=G6),"норма",IF(G6&lt;E6,G6-E6,IF(G6&gt;E6,G6-E6,"норма")))))</f>
        <v>норма</v>
      </c>
    </row>
    <row r="7" spans="1:9" s="104" customFormat="1" ht="12.75" hidden="1">
      <c r="A7" s="727" t="s">
        <v>418</v>
      </c>
      <c r="B7" s="728"/>
      <c r="C7" s="729"/>
      <c r="D7" s="113" t="s">
        <v>20</v>
      </c>
      <c r="E7" s="156" t="s">
        <v>20</v>
      </c>
      <c r="F7" s="115">
        <f>'Учебный план (очная)'!N12</f>
        <v>1277</v>
      </c>
      <c r="G7" s="115">
        <f>'Учебный план (очная)'!O12</f>
        <v>851</v>
      </c>
      <c r="H7" s="116" t="str">
        <f>IF(OR(D7="",E7=""),"введите данные ФГОС",IF('Учебный план (очная)'!N88=0,"заполняйте учебный план",IF(OR(D7="-",D7=F7),"норма",IF(F7&lt;D7,F7-D7,IF(F7&gt;D7,F7-D7,"норма")))))</f>
        <v>норма</v>
      </c>
      <c r="I7" s="116" t="str">
        <f>IF(OR(D7="",E7=""),"введите данные ФГОС",IF('Учебный план (очная)'!N88=0,"заполняйте учебный план",IF(OR(E7="-",E7=G7),"норма",IF(G7&lt;E7,G7-E7,IF(G7&gt;E7,G7-E7,"норма")))))</f>
        <v>норма</v>
      </c>
    </row>
    <row r="8" spans="1:9" s="104" customFormat="1" ht="12.75" hidden="1">
      <c r="A8" s="727" t="s">
        <v>419</v>
      </c>
      <c r="B8" s="728"/>
      <c r="C8" s="729"/>
      <c r="D8" s="113" t="s">
        <v>20</v>
      </c>
      <c r="E8" s="156" t="s">
        <v>20</v>
      </c>
      <c r="F8" s="115">
        <f>'Учебный план (очная)'!N19</f>
        <v>69</v>
      </c>
      <c r="G8" s="115">
        <f>'Учебный план (очная)'!O19</f>
        <v>46</v>
      </c>
      <c r="H8" s="116" t="str">
        <f>IF(OR(D8="",E8=""),"введите данные ФГОС",IF('Учебный план (очная)'!N88=0,"заполняйте учебный план",IF(OR(D8="-",D8=F8),"норма",IF(F8&lt;D8,F8-D8,IF(F8&gt;D8,F8-D8,"норма")))))</f>
        <v>норма</v>
      </c>
      <c r="I8" s="116" t="str">
        <f>IF(OR(D8="",E8=""),"введите данные ФГОС",IF('Учебный план (очная)'!N88=0,"заполняйте учебный план",IF(OR(E8="-",E8=G8),"норма",IF(G8&lt;E8,G8-E8,IF(G8&gt;E8,G8-E8,"норма")))))</f>
        <v>норма</v>
      </c>
    </row>
    <row r="9" spans="1:9" s="104" customFormat="1" ht="12.75">
      <c r="A9" s="727" t="s">
        <v>307</v>
      </c>
      <c r="B9" s="728"/>
      <c r="C9" s="729"/>
      <c r="D9" s="114">
        <v>3178</v>
      </c>
      <c r="E9" s="114">
        <v>2118</v>
      </c>
      <c r="F9" s="115">
        <f>F10+F11+F12</f>
        <v>3934</v>
      </c>
      <c r="G9" s="115">
        <f>G10+G11+G12</f>
        <v>2622</v>
      </c>
      <c r="H9" s="116">
        <f>IF(OR(D9="",E9=""),"введите данные ФГОС",IF('Учебный план (очная)'!N88=0,"заполняйте учебный план",IF(OR(D9="-",D9=F9),"норма",IF(F9&lt;D9,F9-D9,IF(F9&gt;D9,F9-D9,"норма")))))</f>
        <v>756</v>
      </c>
      <c r="I9" s="116">
        <f>IF(OR(D9="",E9=""),"введите данные ФГОС",IF('Учебный план (очная)'!N88=0,"заполняйте учебный план",IF(OR(E9="-",E9=G9),"норма",IF(G9&lt;E9,G9-E9,IF(G9&gt;E9,G9-E9,"норма")))))</f>
        <v>504</v>
      </c>
    </row>
    <row r="10" spans="1:9" s="104" customFormat="1" ht="12.75">
      <c r="A10" s="730" t="s">
        <v>125</v>
      </c>
      <c r="B10" s="728"/>
      <c r="C10" s="729"/>
      <c r="D10" s="114">
        <v>648</v>
      </c>
      <c r="E10" s="114">
        <v>432</v>
      </c>
      <c r="F10" s="115">
        <f>'Учебный план (очная)'!N28</f>
        <v>717</v>
      </c>
      <c r="G10" s="115">
        <f>'Учебный план (очная)'!O28</f>
        <v>478</v>
      </c>
      <c r="H10" s="116">
        <f>IF(OR(D10="",E10=""),"введите данные ФГОС",IF('Учебный план (очная)'!N88=0,"заполняйте учебный план",IF(OR(D10="-",D10=F10),"норма",IF(F10&lt;D10,F10-D10,IF(F10&gt;D10,F10-D10,"норма")))))</f>
        <v>69</v>
      </c>
      <c r="I10" s="116">
        <f>IF(OR(D10="",E10=""),"введите данные ФГОС",IF('Учебный план (очная)'!N88=0,"заполняйте учебный план",IF(OR(E10="-",E10=G10),"норма",IF(G10&lt;E10,G10-E10,IF(G10&gt;E10,G10-E10,"норма")))))</f>
        <v>46</v>
      </c>
    </row>
    <row r="11" spans="1:9" s="104" customFormat="1" ht="12.75">
      <c r="A11" s="730" t="s">
        <v>194</v>
      </c>
      <c r="B11" s="728"/>
      <c r="C11" s="729"/>
      <c r="D11" s="114">
        <v>222</v>
      </c>
      <c r="E11" s="114">
        <v>148</v>
      </c>
      <c r="F11" s="115">
        <f>'Учебный план (очная)'!N33</f>
        <v>240</v>
      </c>
      <c r="G11" s="115">
        <f>'Учебный план (очная)'!O33</f>
        <v>160</v>
      </c>
      <c r="H11" s="116">
        <f>IF(OR(D11="",E11=""),"введите данные ФГОС",IF('Учебный план (очная)'!N88=0,"заполняйте учебный план",IF(OR(D11="-",D11=F11),"норма",IF(F11&lt;D11,F11-D11,IF(F11&gt;D11,F11-D11,"норма")))))</f>
        <v>18</v>
      </c>
      <c r="I11" s="116">
        <f>IF(OR(D11="",E11=""),"введите данные ФГОС",IF('Учебный план (очная)'!N88=0,"заполняйте учебный план",IF(OR(E11="-",E11=G11),"норма",IF(G11&lt;E11,G11-E11,IF(G11&gt;E11,G11-E11,"норма")))))</f>
        <v>12</v>
      </c>
    </row>
    <row r="12" spans="1:9" s="104" customFormat="1" ht="12.75">
      <c r="A12" s="730" t="s">
        <v>62</v>
      </c>
      <c r="B12" s="728"/>
      <c r="C12" s="729"/>
      <c r="D12" s="114">
        <v>2308</v>
      </c>
      <c r="E12" s="114">
        <v>1538</v>
      </c>
      <c r="F12" s="115">
        <f>F13+F14</f>
        <v>2977</v>
      </c>
      <c r="G12" s="115">
        <f>G13+G14</f>
        <v>1984</v>
      </c>
      <c r="H12" s="116">
        <f>IF(OR(D12="",E12=""),"введите данные ФГОС",IF('Учебный план (очная)'!N88=0,"заполняйте учебный план",IF(OR(D12="-",D12=F12),"норма",IF(F12&lt;D12,F12-D12,IF(F12&gt;D12,F12-D12,"норма")))))</f>
        <v>669</v>
      </c>
      <c r="I12" s="116">
        <f>IF(OR(D12="",E12=""),"введите данные ФГОС",IF('Учебный план (очная)'!N88=0,"заполняйте учебный план",IF(OR(E12="-",E12=G12),"норма",IF(G12&lt;E12,G12-E12,IF(G12&gt;E12,G12-E12,"норма")))))</f>
        <v>446</v>
      </c>
    </row>
    <row r="13" spans="1:9" s="104" customFormat="1" ht="12.75">
      <c r="A13" s="730" t="s">
        <v>133</v>
      </c>
      <c r="B13" s="728"/>
      <c r="C13" s="729"/>
      <c r="D13" s="114">
        <v>900</v>
      </c>
      <c r="E13" s="114">
        <v>600</v>
      </c>
      <c r="F13" s="115">
        <f>'Учебный план (очная)'!N37</f>
        <v>1127</v>
      </c>
      <c r="G13" s="115">
        <f>'Учебный план (очная)'!O37</f>
        <v>751</v>
      </c>
      <c r="H13" s="116">
        <f>IF(OR(D13="",E13=""),"введите данные ФГОС",IF('Учебный план (очная)'!N88=0,"заполняйте учебный план",IF(OR(D13="-",D13=F13),"норма",IF(F13&lt;D13,F13-D13,IF(F13&gt;D13,F13-D13,"норма")))))</f>
        <v>227</v>
      </c>
      <c r="I13" s="116">
        <f>IF(OR(D13="",E13=""),"введите данные ФГОС",IF('Учебный план (очная)'!N88=0,"заполняйте учебный план",IF(OR(E13="-",E13=G13),"норма",IF(G13&lt;E13,G13-E13,IF(G13&gt;E13,G13-E13,"норма")))))</f>
        <v>151</v>
      </c>
    </row>
    <row r="14" spans="1:9" s="104" customFormat="1" ht="12.75">
      <c r="A14" s="727" t="s">
        <v>131</v>
      </c>
      <c r="B14" s="728"/>
      <c r="C14" s="729"/>
      <c r="D14" s="114">
        <v>1408</v>
      </c>
      <c r="E14" s="114">
        <v>938</v>
      </c>
      <c r="F14" s="115">
        <f>'Учебный план (очная)'!N46</f>
        <v>1850</v>
      </c>
      <c r="G14" s="115">
        <f>'Учебный план (очная)'!O46</f>
        <v>1233</v>
      </c>
      <c r="H14" s="116">
        <f>IF(OR(D14="",E14=""),"введите данные ФГОС",IF('Учебный план (очная)'!N88=0,"заполняйте учебный план",IF(OR(D14="-",D14=F14),"норма",IF(F14&lt;D14,F14-D14,IF(F14&gt;D14,F14-D14,"норма")))))</f>
        <v>442</v>
      </c>
      <c r="I14" s="116">
        <f>IF(OR(D14="",E14=""),"введите данные ФГОС",IF('Учебный план (очная)'!N88=0,"заполняйте учебный план",IF(OR(E14="-",E14=G14),"норма",IF(G14&lt;E14,G14-E14,IF(G14&gt;E14,G14-E14,"норма")))))</f>
        <v>295</v>
      </c>
    </row>
    <row r="15" spans="1:9" s="104" customFormat="1" ht="12.75">
      <c r="A15" s="727" t="s">
        <v>308</v>
      </c>
      <c r="B15" s="728"/>
      <c r="C15" s="729"/>
      <c r="D15" s="114">
        <v>1358</v>
      </c>
      <c r="E15" s="114">
        <v>906</v>
      </c>
      <c r="F15" s="115">
        <f>'Учебный план (очная)'!N65</f>
        <v>602</v>
      </c>
      <c r="G15" s="115">
        <f>'Учебный план (очная)'!O65</f>
        <v>402</v>
      </c>
      <c r="H15" s="116">
        <f>IF(OR(D15="",E15=""),"введите данные ФГОС",IF('Учебный план (очная)'!N88=0,"заполняйте учебный план",IF(OR(D15="-",D15=F15),"норма",IF(F15&lt;D15,F15-D15,IF(F15&gt;D15,F15-D15,"норма")))))</f>
        <v>-756</v>
      </c>
      <c r="I15" s="116">
        <f>IF(OR(D15="",E15=""),"введите данные ФГОС",IF('Учебный план (очная)'!N88=0,"заполняйте учебный план",IF(OR(E15="-",E15=G15),"норма",IF(G15&lt;E15,G15-E15,IF(G15&gt;E15,G15-E15,"норма")))))</f>
        <v>-504</v>
      </c>
    </row>
    <row r="16" spans="1:9" s="104" customFormat="1" ht="12.75">
      <c r="A16" s="727" t="s">
        <v>309</v>
      </c>
      <c r="B16" s="728"/>
      <c r="C16" s="729"/>
      <c r="D16" s="114">
        <v>4536</v>
      </c>
      <c r="E16" s="114">
        <v>3024</v>
      </c>
      <c r="F16" s="115">
        <f>F9+F15</f>
        <v>4536</v>
      </c>
      <c r="G16" s="115">
        <f>G9+G15</f>
        <v>3024</v>
      </c>
      <c r="H16" s="116" t="str">
        <f>IF(OR(D16="",E16=""),"введите данные ФГОС",IF('Учебный план (очная)'!N88=0,"заполняйте учебный план",IF(OR(D16="-",D16=F16),"норма",IF(F16&lt;D16,F16-D16,IF(F16&gt;D16,F16-D16,"норма")))))</f>
        <v>норма</v>
      </c>
      <c r="I16" s="116" t="str">
        <f>IF(OR(D16="",E16=""),"введите данные ФГОС",IF('Учебный план (очная)'!N88=0,"заполняйте учебный план",IF(OR(E16="-",E16=G16),"норма",IF(G16&lt;E16,G16-E16,IF(G16&gt;E16,G16-E16,"норма")))))</f>
        <v>норма</v>
      </c>
    </row>
    <row r="17" spans="1:9" s="104" customFormat="1" ht="12.75" hidden="1">
      <c r="A17" s="730" t="s">
        <v>193</v>
      </c>
      <c r="B17" s="728"/>
      <c r="C17" s="729"/>
      <c r="D17" s="113">
        <f>G29*G38</f>
        <v>1566</v>
      </c>
      <c r="E17" s="114">
        <v>1044</v>
      </c>
      <c r="F17" s="115">
        <f>'Учебный план (очная)'!N72+'Учебный план (очная)'!N74</f>
        <v>0</v>
      </c>
      <c r="G17" s="115">
        <f>'Учебный план (очная)'!O72+'Учебный план (очная)'!O74</f>
        <v>1044</v>
      </c>
      <c r="H17" s="116">
        <f>IF(OR(D17="",E17=""),"введите данные ФГОС",IF('Учебный план (очная)'!N88=0,"заполняйте учебный план",IF(OR(D17="-",D17=F17),"норма",IF(F17&lt;D17,F17-D17,IF(F17&gt;D17,F17-D17,"норма")))))</f>
        <v>-1566</v>
      </c>
      <c r="I17" s="116" t="str">
        <f>IF(OR(D17="",E17=""),"введите данные ФГОС",IF('Учебный план (очная)'!N88=0,"заполняйте учебный план",IF(OR(E17="-",E17=G17),"норма",IF(G17&lt;E17,G17-E17,IF(G17&gt;E17,G17-E17,"норма")))))</f>
        <v>норма</v>
      </c>
    </row>
    <row r="18" spans="1:9" s="104" customFormat="1" ht="12.75" hidden="1">
      <c r="A18" s="730" t="s">
        <v>4</v>
      </c>
      <c r="B18" s="728"/>
      <c r="C18" s="729"/>
      <c r="D18" s="113">
        <f>'Титульный лист (очная)'!BH30*Нормы!G38</f>
        <v>216</v>
      </c>
      <c r="E18" s="113">
        <f>'Титульный лист (очная)'!BH30*Нормы!G39</f>
        <v>144</v>
      </c>
      <c r="F18" s="115">
        <v>216</v>
      </c>
      <c r="G18" s="115">
        <v>144</v>
      </c>
      <c r="H18" s="116" t="str">
        <f>IF(OR(D18="",E18=""),"введите данные ФГОС",IF('Учебный план (очная)'!N88=0,"заполняйте учебный план",IF(OR(D18="-",D18=F18),"норма",IF(F18&lt;D18,F18-D18,IF(F18&gt;D18,F18-D18,"норма")))))</f>
        <v>норма</v>
      </c>
      <c r="I18" s="116" t="str">
        <f>IF(OR(D18="",E18=""),"введите данные ФГОС",IF('Учебный план (очная)'!N88=0,"заполняйте учебный план",IF(OR(E18="-",E18=G18),"норма",IF(G18&lt;E18,G18-E18,IF(G18&gt;E18,G18-E18,"норма")))))</f>
        <v>норма</v>
      </c>
    </row>
    <row r="19" spans="1:9" s="104" customFormat="1" ht="12.75" hidden="1">
      <c r="A19" s="730" t="s">
        <v>100</v>
      </c>
      <c r="B19" s="728"/>
      <c r="C19" s="729"/>
      <c r="D19" s="113">
        <f>D17-D18</f>
        <v>1350</v>
      </c>
      <c r="E19" s="113">
        <v>756</v>
      </c>
      <c r="F19" s="115">
        <v>1350</v>
      </c>
      <c r="G19" s="115">
        <v>756</v>
      </c>
      <c r="H19" s="116" t="str">
        <f>IF(OR(D19="",E19=""),"введите данные ФГОС",IF('Учебный план (очная)'!N88=0,"заполняйте учебный план",IF(OR(D19="-",D19=F19),"норма",IF(F19&lt;D19,F19-D19,IF(F19&gt;D19,F19-D19,"норма")))))</f>
        <v>норма</v>
      </c>
      <c r="I19" s="116" t="str">
        <f>IF(OR(D19="",E19=""),"введите данные ФГОС",IF('Учебный план (очная)'!N88=0,"заполняйте учебный план",IF(OR(E19="-",E19=G19),"норма",IF(G19&lt;E19,G19-E19,IF(G19&gt;E19,G19-E19,"норма")))))</f>
        <v>норма</v>
      </c>
    </row>
    <row r="20" spans="1:9" s="104" customFormat="1" ht="12.75" hidden="1">
      <c r="A20" s="730" t="s">
        <v>147</v>
      </c>
      <c r="B20" s="728"/>
      <c r="C20" s="729"/>
      <c r="D20" s="113">
        <v>324</v>
      </c>
      <c r="E20" s="113">
        <v>72</v>
      </c>
      <c r="F20" s="115">
        <f>'Учебный план (очная)'!N77</f>
        <v>324</v>
      </c>
      <c r="G20" s="115">
        <f>'Учебный план (очная)'!O77</f>
        <v>0</v>
      </c>
      <c r="H20" s="116" t="str">
        <f>IF(OR(D20="",E20=""),"введите данные ФГОС",IF('Учебный план (очная)'!N88=0,"заполняйте учебный план",IF(OR(D20="-",D20=F20),"норма",IF(F20&lt;D20,F20-D20,IF(F20&gt;D20,F20-D20,"норма")))))</f>
        <v>норма</v>
      </c>
      <c r="I20" s="116">
        <f>IF(OR(D20="",E20=""),"введите данные ФГОС",IF('Учебный план (очная)'!N88=0,"заполняйте учебный план",IF(OR(E20="-",E20=G20),"норма",IF(G20&lt;E20,G20-E20,IF(G20&gt;E20,G20-E20,"норма")))))</f>
        <v>-72</v>
      </c>
    </row>
    <row r="21" spans="1:17" s="104" customFormat="1" ht="12.75" hidden="1">
      <c r="A21" s="730" t="s">
        <v>132</v>
      </c>
      <c r="B21" s="728"/>
      <c r="C21" s="729"/>
      <c r="D21" s="113">
        <f>CEILING((G27+G33)/52,1)*G44</f>
        <v>0</v>
      </c>
      <c r="E21" s="113" t="s">
        <v>20</v>
      </c>
      <c r="F21" s="115">
        <v>0</v>
      </c>
      <c r="G21" s="115">
        <f>'Учебный план (очная)'!O80</f>
        <v>0</v>
      </c>
      <c r="H21" s="116" t="str">
        <f>IF(OR(D21="",E21=""),"введите данные ФГОС",IF('Учебный план (очная)'!N88=0,"заполняйте учебный план",IF(OR(D21="-",D21=F21),"норма",IF(F21&lt;D21,F21-D21,IF(F21&gt;D21,F21-D21,"норма")))))</f>
        <v>норма</v>
      </c>
      <c r="I21" s="116" t="str">
        <f>IF(OR(D21="",E21=""),"введите данные ФГОС",IF('Учебный план (очная)'!N88=0,"заполняйте учебный план",IF(OR(E21="-",E21=G21),"норма",IF(G21&lt;E21,G21-E21,IF(G21&gt;E21,G21-E21,"норма")))))</f>
        <v>норма</v>
      </c>
      <c r="Q21" s="104" t="s">
        <v>24</v>
      </c>
    </row>
    <row r="22" spans="1:9" s="104" customFormat="1" ht="12.75" hidden="1">
      <c r="A22" s="767" t="s">
        <v>74</v>
      </c>
      <c r="B22" s="768"/>
      <c r="C22" s="769"/>
      <c r="D22" s="117">
        <f>D6+D9+D15+D17+D20</f>
        <v>8532</v>
      </c>
      <c r="E22" s="117">
        <f>E6+E9+E15+SUM(E18:E20)</f>
        <v>5400</v>
      </c>
      <c r="F22" s="117">
        <f>F6+F9+F15+F17+F20</f>
        <v>6966</v>
      </c>
      <c r="G22" s="117">
        <f>G6+G9+G15+SUM(G18:G20)</f>
        <v>5328</v>
      </c>
      <c r="H22" s="116">
        <f>IF(OR(D22="",E22=""),"введите данные ФГОС",IF('Учебный план (очная)'!N88=0,"заполняйте учебный план",IF(OR(D22="-",D22=F22),"норма",IF(F22&lt;D22,F22-D22,IF(F22&gt;D22,F22-D22,"норма")))))</f>
        <v>-1566</v>
      </c>
      <c r="I22" s="116">
        <f>IF(OR(D22="",E22=""),"введите данные ФГОС",IF('Учебный план (очная)'!N88=0,"заполняйте учебный план",IF(OR(E22="-",E22=G22),"норма",IF(G22&lt;E22,G22-E22,IF(G22&gt;E22,G22-E22,"норма")))))</f>
        <v>-72</v>
      </c>
    </row>
    <row r="23" spans="1:9" s="104" customFormat="1" ht="12.75">
      <c r="A23" s="118"/>
      <c r="B23" s="118"/>
      <c r="C23" s="118"/>
      <c r="D23" s="118"/>
      <c r="E23" s="118"/>
      <c r="F23" s="118"/>
      <c r="G23" s="118"/>
      <c r="H23" s="118"/>
      <c r="I23" s="118"/>
    </row>
    <row r="24" spans="1:13" s="104" customFormat="1" ht="12.75">
      <c r="A24" s="770" t="s">
        <v>75</v>
      </c>
      <c r="B24" s="770"/>
      <c r="C24" s="770"/>
      <c r="D24" s="770"/>
      <c r="E24" s="770"/>
      <c r="F24" s="770"/>
      <c r="G24" s="770"/>
      <c r="H24" s="770"/>
      <c r="I24" s="770"/>
      <c r="M24" s="104" t="s">
        <v>24</v>
      </c>
    </row>
    <row r="25" spans="1:9" s="104" customFormat="1" ht="78" customHeight="1">
      <c r="A25" s="764" t="s">
        <v>89</v>
      </c>
      <c r="B25" s="765"/>
      <c r="C25" s="765"/>
      <c r="D25" s="765"/>
      <c r="E25" s="766"/>
      <c r="F25" s="119" t="s">
        <v>341</v>
      </c>
      <c r="G25" s="120" t="s">
        <v>342</v>
      </c>
      <c r="H25" s="120" t="s">
        <v>90</v>
      </c>
      <c r="I25" s="105" t="s">
        <v>91</v>
      </c>
    </row>
    <row r="26" spans="1:9" s="104" customFormat="1" ht="12.75">
      <c r="A26" s="758"/>
      <c r="B26" s="759"/>
      <c r="C26" s="759"/>
      <c r="D26" s="759"/>
      <c r="E26" s="760"/>
      <c r="F26" s="121"/>
      <c r="G26" s="122"/>
      <c r="H26" s="123"/>
      <c r="I26" s="124"/>
    </row>
    <row r="27" spans="1:9" s="104" customFormat="1" ht="12.75">
      <c r="A27" s="754" t="s">
        <v>310</v>
      </c>
      <c r="B27" s="755"/>
      <c r="C27" s="755"/>
      <c r="D27" s="755"/>
      <c r="E27" s="756"/>
      <c r="F27" s="125">
        <v>147</v>
      </c>
      <c r="G27" s="126">
        <v>147</v>
      </c>
      <c r="H27" s="127">
        <f>IF(G27="","введите данные ФГОС",IF(F27="","введите рекомендации УМУ",IF('Титульный лист (очная)'!BM30=0,"заполняйте титульный лист",SUM('Титульный лист (очная)'!BM26:BM29))))</f>
        <v>147</v>
      </c>
      <c r="I27" s="128" t="str">
        <f aca="true" t="shared" si="0" ref="I27:I36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9" s="104" customFormat="1" ht="12.75">
      <c r="A28" s="757" t="s">
        <v>181</v>
      </c>
      <c r="B28" s="755"/>
      <c r="C28" s="755"/>
      <c r="D28" s="755"/>
      <c r="E28" s="756"/>
      <c r="F28" s="125">
        <v>84</v>
      </c>
      <c r="G28" s="126">
        <v>84</v>
      </c>
      <c r="H28" s="127">
        <f>IF(G28="","введите данные ФГОС",IF(F28="","введите рекомендации УМУ",IF('Титульный лист (очная)'!BM30=0,"заполняйте титульный лист",SUM('Титульный лист (очная)'!BD26:BD29))))</f>
        <v>84</v>
      </c>
      <c r="I28" s="128" t="str">
        <f t="shared" si="0"/>
        <v>норма</v>
      </c>
    </row>
    <row r="29" spans="1:9" s="104" customFormat="1" ht="12.75">
      <c r="A29" s="757" t="s">
        <v>182</v>
      </c>
      <c r="B29" s="755"/>
      <c r="C29" s="755"/>
      <c r="D29" s="755"/>
      <c r="E29" s="756"/>
      <c r="F29" s="125">
        <v>29</v>
      </c>
      <c r="G29" s="126">
        <v>29</v>
      </c>
      <c r="H29" s="127">
        <f>IF(G29="","введите данные ФГОС",IF(F29="","введите рекомендации УМУ",IF('Титульный лист (очная)'!BM30=0,"заполняйте титульный лист",SUM('Титульный лист (очная)'!BH25:BI29))))</f>
        <v>29</v>
      </c>
      <c r="I29" s="128" t="str">
        <f t="shared" si="0"/>
        <v>норма</v>
      </c>
    </row>
    <row r="30" spans="1:9" s="104" customFormat="1" ht="12.75">
      <c r="A30" s="757" t="s">
        <v>183</v>
      </c>
      <c r="B30" s="755"/>
      <c r="C30" s="755"/>
      <c r="D30" s="755"/>
      <c r="E30" s="756"/>
      <c r="F30" s="125">
        <v>5</v>
      </c>
      <c r="G30" s="126">
        <v>5</v>
      </c>
      <c r="H30" s="127">
        <f>IF(G30="","введите данные ФГОС",IF(F30="","введите рекомендации УМУ",IF('Титульный лист (очная)'!BM30=0,"заполняйте титульный лист",SUM('Титульный лист (очная)'!BG26:BG29))))</f>
        <v>5</v>
      </c>
      <c r="I30" s="128" t="str">
        <f t="shared" si="0"/>
        <v>норма</v>
      </c>
    </row>
    <row r="31" spans="1:9" s="104" customFormat="1" ht="12.75">
      <c r="A31" s="754" t="s">
        <v>468</v>
      </c>
      <c r="B31" s="755"/>
      <c r="C31" s="755"/>
      <c r="D31" s="755"/>
      <c r="E31" s="756"/>
      <c r="F31" s="125">
        <v>6</v>
      </c>
      <c r="G31" s="126">
        <v>6</v>
      </c>
      <c r="H31" s="127">
        <f>IF(G31="","введите данные ФГОС",IF(F31="","введите рекомендации УМУ",IF('Титульный лист (очная)'!BM30=0,"заполняйте титульный лист",SUM('Титульный лист (очная)'!BJ25:BK29))))</f>
        <v>6</v>
      </c>
      <c r="I31" s="128" t="str">
        <f t="shared" si="0"/>
        <v>норма</v>
      </c>
    </row>
    <row r="32" spans="1:9" s="104" customFormat="1" ht="12.75">
      <c r="A32" s="757" t="s">
        <v>184</v>
      </c>
      <c r="B32" s="755"/>
      <c r="C32" s="755"/>
      <c r="D32" s="755"/>
      <c r="E32" s="756"/>
      <c r="F32" s="125">
        <v>23</v>
      </c>
      <c r="G32" s="126">
        <v>23</v>
      </c>
      <c r="H32" s="127">
        <f>IF(G32="","введите данные ФГОС",IF(F32="","введите рекомендации УМУ",IF('Титульный лист (очная)'!BM30=0,"заполняйте титульный лист",SUM('Титульный лист (очная)'!BL26:BL29))))</f>
        <v>23</v>
      </c>
      <c r="I32" s="128" t="str">
        <f t="shared" si="0"/>
        <v>норма</v>
      </c>
    </row>
    <row r="33" spans="1:9" s="104" customFormat="1" ht="12.75">
      <c r="A33" s="754" t="s">
        <v>311</v>
      </c>
      <c r="B33" s="755"/>
      <c r="C33" s="755"/>
      <c r="D33" s="755"/>
      <c r="E33" s="756"/>
      <c r="F33" s="125">
        <v>52</v>
      </c>
      <c r="G33" s="126">
        <v>52</v>
      </c>
      <c r="H33" s="127">
        <f>IF(G33="","введите данные ФГОС",IF(F33="","введите рекомендации УМУ",IF('Титульный лист (очная)'!BM30=0,"заполняйте титульный лист",'Титульный лист (очная)'!BM25)))</f>
        <v>52</v>
      </c>
      <c r="I33" s="128" t="str">
        <f t="shared" si="0"/>
        <v>норма</v>
      </c>
    </row>
    <row r="34" spans="1:9" s="104" customFormat="1" ht="12.75">
      <c r="A34" s="754" t="s">
        <v>312</v>
      </c>
      <c r="B34" s="755"/>
      <c r="C34" s="755"/>
      <c r="D34" s="755"/>
      <c r="E34" s="756"/>
      <c r="F34" s="125">
        <v>39</v>
      </c>
      <c r="G34" s="126">
        <v>39</v>
      </c>
      <c r="H34" s="127">
        <f>IF(G34="","введите данные ФГОС",IF(F34="","введите рекомендации УМУ",IF('Титульный лист (очная)'!BM30=0,"заполняйте титульный лист",'Титульный лист (очная)'!BD25)))</f>
        <v>39</v>
      </c>
      <c r="I34" s="128" t="str">
        <f t="shared" si="0"/>
        <v>норма</v>
      </c>
    </row>
    <row r="35" spans="1:9" s="104" customFormat="1" ht="12.75">
      <c r="A35" s="754" t="s">
        <v>313</v>
      </c>
      <c r="B35" s="755"/>
      <c r="C35" s="755"/>
      <c r="D35" s="755"/>
      <c r="E35" s="756"/>
      <c r="F35" s="125">
        <v>2</v>
      </c>
      <c r="G35" s="126">
        <v>2</v>
      </c>
      <c r="H35" s="127">
        <f>IF(G35="","введите данные ФГОС",IF(F35="","введите рекомендации УМУ",IF('Титульный лист (очная)'!BM30=0,"заполняйте титульный лист",'Титульный лист (очная)'!BG25)))</f>
        <v>2</v>
      </c>
      <c r="I35" s="128" t="str">
        <f t="shared" si="0"/>
        <v>норма</v>
      </c>
    </row>
    <row r="36" spans="1:9" s="104" customFormat="1" ht="12.75">
      <c r="A36" s="754" t="s">
        <v>314</v>
      </c>
      <c r="B36" s="755"/>
      <c r="C36" s="755"/>
      <c r="D36" s="755"/>
      <c r="E36" s="756"/>
      <c r="F36" s="125">
        <v>11</v>
      </c>
      <c r="G36" s="126">
        <v>11</v>
      </c>
      <c r="H36" s="127">
        <f>IF(G36="","введите данные ФГОС",IF(F36="","введите рекомендации УМУ",IF('Титульный лист (очная)'!BM30=0,"заполняйте титульный лист",'Титульный лист (очная)'!BL25)))</f>
        <v>11</v>
      </c>
      <c r="I36" s="128" t="str">
        <f t="shared" si="0"/>
        <v>норма</v>
      </c>
    </row>
    <row r="37" spans="1:9" s="104" customFormat="1" ht="12.75">
      <c r="A37" s="758"/>
      <c r="B37" s="759"/>
      <c r="C37" s="759"/>
      <c r="D37" s="759"/>
      <c r="E37" s="760"/>
      <c r="F37" s="121"/>
      <c r="G37" s="122"/>
      <c r="H37" s="123"/>
      <c r="I37" s="124"/>
    </row>
    <row r="38" spans="1:9" s="104" customFormat="1" ht="12.75">
      <c r="A38" s="757" t="s">
        <v>185</v>
      </c>
      <c r="B38" s="755"/>
      <c r="C38" s="755"/>
      <c r="D38" s="755"/>
      <c r="E38" s="756"/>
      <c r="F38" s="129">
        <v>54</v>
      </c>
      <c r="G38" s="130">
        <v>54</v>
      </c>
      <c r="H38" s="131">
        <f>IF(G38="","введите данные ФГОС",IF(F38="","введите рекомендации УМУ",IF('Учебный план (очная)'!N88=0,"заполняйте учебный план",'Учебный план (очная)'!N91)))</f>
        <v>54</v>
      </c>
      <c r="I38" s="128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04" customFormat="1" ht="12.75" customHeight="1">
      <c r="A39" s="757" t="s">
        <v>186</v>
      </c>
      <c r="B39" s="755"/>
      <c r="C39" s="755"/>
      <c r="D39" s="755"/>
      <c r="E39" s="756"/>
      <c r="F39" s="129">
        <v>36</v>
      </c>
      <c r="G39" s="130">
        <v>36</v>
      </c>
      <c r="H39" s="131">
        <f>IF(G39="","введите данные ФГОС",IF(F39="","введите рекомендации УМУ",IF('Учебный план (очная)'!N88=0,"заполняйте учебный план",'Учебный план (очная)'!N92)))</f>
        <v>36</v>
      </c>
      <c r="I39" s="128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133" customFormat="1" ht="12.75" customHeight="1">
      <c r="A40" s="757" t="s">
        <v>93</v>
      </c>
      <c r="B40" s="755"/>
      <c r="C40" s="755"/>
      <c r="D40" s="755"/>
      <c r="E40" s="756"/>
      <c r="F40" s="125">
        <v>11</v>
      </c>
      <c r="G40" s="126">
        <v>11</v>
      </c>
      <c r="H40" s="127">
        <f>IF(G40="","введите данные ФГОС",IF(F40="","введите рекомендации УМУ",IF('Титульный лист (очная)'!BM30=0,"заполняйте титульный лист",DMAX('Титульный лист (очная)'!BL21:BM29,1,F60:G61))))</f>
        <v>11</v>
      </c>
      <c r="I40" s="13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133" customFormat="1" ht="12.75" customHeight="1">
      <c r="A41" s="757" t="s">
        <v>92</v>
      </c>
      <c r="B41" s="755"/>
      <c r="C41" s="755"/>
      <c r="D41" s="755"/>
      <c r="E41" s="756"/>
      <c r="F41" s="125">
        <v>8</v>
      </c>
      <c r="G41" s="126">
        <v>8</v>
      </c>
      <c r="H41" s="127">
        <f>IF(G41="","введите данные ФГОС",IF(F41="","введите рекомендации УМУ",IF('Титульный лист (очная)'!BM30=0,"заполняйте титульный лист",DMIN('Титульный лист (очная)'!BL21:BM29,1,F62:G63))))</f>
        <v>10</v>
      </c>
      <c r="I41" s="13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133" customFormat="1" ht="12.75" customHeight="1">
      <c r="A42" s="757" t="s">
        <v>187</v>
      </c>
      <c r="B42" s="755"/>
      <c r="C42" s="755"/>
      <c r="D42" s="755"/>
      <c r="E42" s="756"/>
      <c r="F42" s="115">
        <v>2</v>
      </c>
      <c r="G42" s="134">
        <v>2</v>
      </c>
      <c r="H42" s="135">
        <v>2</v>
      </c>
      <c r="I42" s="128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33" customFormat="1" ht="12.75" customHeight="1">
      <c r="A43" s="757" t="s">
        <v>188</v>
      </c>
      <c r="B43" s="755"/>
      <c r="C43" s="755"/>
      <c r="D43" s="755"/>
      <c r="E43" s="756"/>
      <c r="F43" s="115">
        <v>2</v>
      </c>
      <c r="G43" s="134">
        <v>2</v>
      </c>
      <c r="H43" s="135">
        <v>2</v>
      </c>
      <c r="I43" s="128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133" customFormat="1" ht="12.75" customHeight="1" hidden="1">
      <c r="A44" s="757" t="s">
        <v>218</v>
      </c>
      <c r="B44" s="755"/>
      <c r="C44" s="755"/>
      <c r="D44" s="755"/>
      <c r="E44" s="756"/>
      <c r="F44" s="115">
        <v>0</v>
      </c>
      <c r="G44" s="134">
        <v>0</v>
      </c>
      <c r="H44" s="135">
        <f>IF(G44="","введите данные ФГОС",IF(F44="","введите рекомендации УМУ",IF('Титульный лист (очная)'!BM30=0,"заполняйте титульный лист",IF('Учебный план (очная)'!N88=0,"заполняйте учебный план",MAX(IF('Титульный лист (очная)'!BM25&gt;0,'Учебный план (очная)'!V80+'Учебный план (очная)'!AC80,0),IF('Титульный лист (очная)'!BM26&gt;0,'Учебный план (очная)'!AJ80+'Учебный план (очная)'!AQ80,0),IF('Титульный лист (очная)'!BM27&gt;0,'Учебный план (очная)'!AX80+'Учебный план (очная)'!BE80,0),IF('Титульный лист (очная)'!BM28&gt;0,'Учебный план (очная)'!BL80+'Учебный план (очная)'!BS80,0),IF('Титульный лист (очная)'!BM29&gt;0,'Учебный план (очная)'!BZ80+'Учебный план (очная)'!CH80,0))))))</f>
        <v>0</v>
      </c>
      <c r="I44" s="128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133" customFormat="1" ht="12.75" customHeight="1">
      <c r="A45" s="757" t="s">
        <v>211</v>
      </c>
      <c r="B45" s="755"/>
      <c r="C45" s="755"/>
      <c r="D45" s="755"/>
      <c r="E45" s="756"/>
      <c r="F45" s="125">
        <v>8</v>
      </c>
      <c r="G45" s="126">
        <v>8</v>
      </c>
      <c r="H45" s="127">
        <f>IF(G45="","введите данные ФГОС",IF(F45="","введите рекомендации УМУ",IF('Учебный план (очная)'!N88=0,"заполняйте учебный план",MAX('Учебный план (очная)'!AA93+'Учебный план (очная)'!AH93,'Учебный план (очная)'!AO93+'Учебный план (очная)'!AV93,'Учебный план (очная)'!BC93+'Учебный план (очная)'!BJ93,'Учебный план (очная)'!BQ93+'Учебный план (очная)'!BX93,'Учебный план (очная)'!CE93+'Учебный план (очная)'!CM93))))</f>
        <v>4</v>
      </c>
      <c r="I45" s="128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133" customFormat="1" ht="12.75" customHeight="1">
      <c r="A46" s="757" t="s">
        <v>212</v>
      </c>
      <c r="B46" s="755"/>
      <c r="C46" s="755"/>
      <c r="D46" s="755"/>
      <c r="E46" s="756"/>
      <c r="F46" s="125">
        <v>10</v>
      </c>
      <c r="G46" s="126">
        <v>10</v>
      </c>
      <c r="H46" s="127">
        <f>IF(G46="","введите данные ФГОС",IF(F46="","введите рекомендации УМУ",IF('Учебный план (очная)'!N88=0,"заполняйте учебный план",MAX('Учебный план (очная)'!AA94+'Учебный план (очная)'!AH94,'Учебный план (очная)'!AO94+'Учебный план (очная)'!AV94,'Учебный план (очная)'!BC94+'Учебный план (очная)'!BJ94,'Учебный план (очная)'!BQ94+'Учебный план (очная)'!BX94,'Учебный план (очная)'!CE94+'Учебный план (очная)'!CM94))))</f>
        <v>10</v>
      </c>
      <c r="I46" s="128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133" customFormat="1" ht="12.75" customHeight="1">
      <c r="A47" s="757" t="s">
        <v>189</v>
      </c>
      <c r="B47" s="755"/>
      <c r="C47" s="755"/>
      <c r="D47" s="755"/>
      <c r="E47" s="756"/>
      <c r="F47" s="125">
        <v>3</v>
      </c>
      <c r="G47" s="126">
        <v>3</v>
      </c>
      <c r="H47" s="127">
        <f>IF(G47="","введите данные ФГОС",IF(F47="","введите рекомендации УМУ",IF('Учебный план (очная)'!N88=0,"заполняйте учебный план",'Учебный план (очная)'!N95)))</f>
        <v>3</v>
      </c>
      <c r="I47" s="136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33" customFormat="1" ht="12.75" customHeight="1">
      <c r="A48" s="757" t="s">
        <v>190</v>
      </c>
      <c r="B48" s="755"/>
      <c r="C48" s="755"/>
      <c r="D48" s="755"/>
      <c r="E48" s="756"/>
      <c r="F48" s="115" t="s">
        <v>110</v>
      </c>
      <c r="G48" s="134" t="s">
        <v>110</v>
      </c>
      <c r="H48" s="137" t="s">
        <v>110</v>
      </c>
      <c r="I48" s="13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133" customFormat="1" ht="12.75" customHeight="1">
      <c r="A49" s="757" t="s">
        <v>101</v>
      </c>
      <c r="B49" s="755"/>
      <c r="C49" s="755"/>
      <c r="D49" s="755"/>
      <c r="E49" s="756"/>
      <c r="F49" s="115" t="s">
        <v>110</v>
      </c>
      <c r="G49" s="134" t="s">
        <v>110</v>
      </c>
      <c r="H49" s="137" t="s">
        <v>110</v>
      </c>
      <c r="I49" s="13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104" customFormat="1" ht="12.75">
      <c r="A50" s="118"/>
      <c r="B50" s="118"/>
      <c r="C50" s="118"/>
      <c r="D50" s="118"/>
      <c r="E50" s="118"/>
      <c r="F50" s="118"/>
      <c r="G50" s="118"/>
      <c r="H50" s="118"/>
      <c r="I50" s="118"/>
    </row>
    <row r="51" spans="1:9" s="104" customFormat="1" ht="12.75">
      <c r="A51" s="770" t="s">
        <v>77</v>
      </c>
      <c r="B51" s="770"/>
      <c r="C51" s="770"/>
      <c r="D51" s="770"/>
      <c r="E51" s="770"/>
      <c r="F51" s="770"/>
      <c r="G51" s="770"/>
      <c r="H51" s="770"/>
      <c r="I51" s="770"/>
    </row>
    <row r="52" spans="1:9" s="104" customFormat="1" ht="12.75">
      <c r="A52" s="744" t="s">
        <v>191</v>
      </c>
      <c r="B52" s="742"/>
      <c r="C52" s="742"/>
      <c r="D52" s="742"/>
      <c r="E52" s="742"/>
      <c r="F52" s="761" t="s">
        <v>427</v>
      </c>
      <c r="G52" s="762"/>
      <c r="H52" s="762"/>
      <c r="I52" s="763"/>
    </row>
    <row r="53" spans="1:9" s="104" customFormat="1" ht="12.75">
      <c r="A53" s="736"/>
      <c r="B53" s="737"/>
      <c r="C53" s="737"/>
      <c r="D53" s="737"/>
      <c r="E53" s="737"/>
      <c r="F53" s="733" t="s">
        <v>192</v>
      </c>
      <c r="G53" s="733"/>
      <c r="H53" s="733"/>
      <c r="I53" s="733"/>
    </row>
    <row r="54" spans="1:9" s="104" customFormat="1" ht="27" customHeight="1">
      <c r="A54" s="749">
        <f>A5</f>
        <v>0</v>
      </c>
      <c r="B54" s="750"/>
      <c r="C54" s="750"/>
      <c r="D54" s="750"/>
      <c r="E54" s="750"/>
      <c r="F54" s="735" t="s">
        <v>288</v>
      </c>
      <c r="G54" s="735"/>
      <c r="H54" s="735"/>
      <c r="I54" s="735"/>
    </row>
    <row r="55" spans="1:9" s="104" customFormat="1" ht="12.75">
      <c r="A55" s="118"/>
      <c r="B55" s="118"/>
      <c r="C55" s="118"/>
      <c r="D55" s="118"/>
      <c r="E55" s="118"/>
      <c r="F55" s="118"/>
      <c r="G55" s="118"/>
      <c r="H55" s="118"/>
      <c r="I55" s="118"/>
    </row>
    <row r="56" spans="1:9" s="104" customFormat="1" ht="12.75">
      <c r="A56" s="734" t="s">
        <v>78</v>
      </c>
      <c r="B56" s="734"/>
      <c r="C56" s="734"/>
      <c r="D56" s="734"/>
      <c r="E56" s="734"/>
      <c r="F56" s="734"/>
      <c r="G56" s="734"/>
      <c r="H56" s="734"/>
      <c r="I56" s="118"/>
    </row>
    <row r="57" spans="1:9" s="104" customFormat="1" ht="12.75">
      <c r="A57" s="741" t="s">
        <v>469</v>
      </c>
      <c r="B57" s="742"/>
      <c r="C57" s="742"/>
      <c r="D57" s="742"/>
      <c r="E57" s="743"/>
      <c r="F57" s="738" t="str">
        <f>'Титульный лист (очная)'!BC14</f>
        <v>22.04.2014 № 376</v>
      </c>
      <c r="G57" s="739"/>
      <c r="H57" s="740"/>
      <c r="I57" s="118"/>
    </row>
    <row r="58" spans="1:9" s="104" customFormat="1" ht="12.75">
      <c r="A58" s="744" t="s">
        <v>79</v>
      </c>
      <c r="B58" s="742"/>
      <c r="C58" s="742"/>
      <c r="D58" s="742"/>
      <c r="E58" s="743"/>
      <c r="F58" s="751">
        <v>43344</v>
      </c>
      <c r="G58" s="752"/>
      <c r="H58" s="753"/>
      <c r="I58" s="118"/>
    </row>
    <row r="60" spans="1:7" s="140" customFormat="1" ht="9.75" hidden="1">
      <c r="A60" s="139"/>
      <c r="B60" s="139"/>
      <c r="C60" s="139"/>
      <c r="D60" s="139"/>
      <c r="F60" s="141" t="s">
        <v>22</v>
      </c>
      <c r="G60" s="141" t="s">
        <v>3</v>
      </c>
    </row>
    <row r="61" spans="1:9" s="140" customFormat="1" ht="9.75" hidden="1">
      <c r="A61" s="139"/>
      <c r="B61" s="139"/>
      <c r="C61" s="139"/>
      <c r="D61" s="139"/>
      <c r="F61" s="141"/>
      <c r="G61" s="141" t="s">
        <v>109</v>
      </c>
      <c r="I61" s="142"/>
    </row>
    <row r="62" spans="1:7" s="140" customFormat="1" ht="9.75" hidden="1">
      <c r="A62" s="139"/>
      <c r="B62" s="139"/>
      <c r="C62" s="139"/>
      <c r="D62" s="139"/>
      <c r="F62" s="141" t="s">
        <v>22</v>
      </c>
      <c r="G62" s="141" t="s">
        <v>3</v>
      </c>
    </row>
    <row r="63" spans="1:7" s="140" customFormat="1" ht="9.75" hidden="1">
      <c r="A63" s="139"/>
      <c r="B63" s="139"/>
      <c r="C63" s="139"/>
      <c r="D63" s="139"/>
      <c r="F63" s="141" t="s">
        <v>197</v>
      </c>
      <c r="G63" s="141" t="s">
        <v>109</v>
      </c>
    </row>
    <row r="64" spans="1:4" s="140" customFormat="1" ht="9.75" hidden="1">
      <c r="A64" s="139"/>
      <c r="B64" s="139"/>
      <c r="C64" s="139"/>
      <c r="D64" s="139"/>
    </row>
    <row r="65" spans="1:7" s="140" customFormat="1" ht="9.75" hidden="1">
      <c r="A65" s="139"/>
      <c r="B65" s="139"/>
      <c r="C65" s="139"/>
      <c r="D65" s="747" t="s">
        <v>222</v>
      </c>
      <c r="E65" s="748"/>
      <c r="F65" s="745" t="s">
        <v>223</v>
      </c>
      <c r="G65" s="746"/>
    </row>
    <row r="66" spans="1:7" s="140" customFormat="1" ht="11.25" customHeight="1" hidden="1">
      <c r="A66" s="143" t="s">
        <v>108</v>
      </c>
      <c r="D66" s="144" t="s">
        <v>220</v>
      </c>
      <c r="E66" s="144" t="s">
        <v>221</v>
      </c>
      <c r="F66" s="144" t="s">
        <v>220</v>
      </c>
      <c r="G66" s="144" t="s">
        <v>221</v>
      </c>
    </row>
    <row r="67" spans="1:8" s="140" customFormat="1" ht="9.75" hidden="1">
      <c r="A67" s="145" t="str">
        <f>Примечание!B14</f>
        <v>Нижегородское речное училище им. И.П. Кулибина</v>
      </c>
      <c r="D67" s="146" t="e">
        <f>MAX(IF('Титульный лист (очная)'!BB25=0,0,DSUM('Учебный план (очная)'!A10:CO70,"23",D68:E69)/'Титульный лист (очная)'!BB25),IF('Титульный лист (очная)'!BC25=0,0,DSUM('Учебный план (очная)'!A10:CO70,"32",D70:E71)/'Титульный лист (очная)'!BC25),IF('Титульный лист (очная)'!BB26=0,0,DSUM('Учебный план (очная)'!A10:CO70,"41",D72:E73)/'Титульный лист (очная)'!BB26),IF('Титульный лист (очная)'!BC26=0,0,DSUM('Учебный план (очная)'!A10:CO70,"50",D74:E75)/'Титульный лист (очная)'!BC26),IF('Титульный лист (очная)'!BB27=0,0,DSUM('Учебный план (очная)'!A10:CO70,"59",D76:E77)/'Титульный лист (очная)'!BB27),IF('Титульный лист (очная)'!BC27=0,0,DSUM('Учебный план (очная)'!A10:CO70,"68",D78:E79)/'Титульный лист (очная)'!BC27),IF('Титульный лист (очная)'!BB28=0,0,DSUM('Учебный план (очная)'!A10:CO70,"77",D80:E81)/'Титульный лист (очная)'!BB28),IF('Титульный лист (очная)'!BC28=0,0,DSUM('Учебный план (очная)'!A10:CO70,"86",D82:E83)/'Титульный лист (очная)'!BC28),IF('Титульный лист (очная)'!BB29=0,0,DSUM('Учебный план (очная)'!A10:CO70,"95",D84:E85)/'Титульный лист (очная)'!BB29),IF('Титульный лист (очная)'!BC29=0,0,DSUM('Учебный план (очная)'!A10:CO70,"104",D86:E87)/'Титульный лист (очная)'!BC29))</f>
        <v>#VALUE!</v>
      </c>
      <c r="E67" s="146" t="e">
        <f>MIN(IF('Титульный лист (очная)'!BB25=0,100,DSUM('Учебный план (очная)'!A10:CO70,"23",D68:E69)/'Титульный лист (очная)'!BB25),IF('Титульный лист (очная)'!BC25=0,100,DSUM('Учебный план (очная)'!A10:CO70,"32",D70:E71)/'Титульный лист (очная)'!BC25),IF('Титульный лист (очная)'!BB26=0,100,DSUM('Учебный план (очная)'!A10:CO70,"41",D72:E73)/'Титульный лист (очная)'!BB26),IF('Титульный лист (очная)'!BC26=0,100,DSUM('Учебный план (очная)'!A10:CO70,"50",D74:E75)/'Титульный лист (очная)'!BC26),IF('Титульный лист (очная)'!BB27=0,100,DSUM('Учебный план (очная)'!A10:CO70,"59",D76:E77)/'Титульный лист (очная)'!BB27),IF('Титульный лист (очная)'!BC27=0,100,DSUM('Учебный план (очная)'!A10:CO70,"68",D78:E79)/'Титульный лист (очная)'!BC27),IF('Титульный лист (очная)'!BB28=0,100,DSUM('Учебный план (очная)'!A10:CO70,"77",D80:E81)/'Титульный лист (очная)'!BB28),IF('Титульный лист (очная)'!BC28=0,100,DSUM('Учебный план (очная)'!A10:CO70,"86",D82:E83)/'Титульный лист (очная)'!BC28),IF('Титульный лист (очная)'!BB29=0,100,DSUM('Учебный план (очная)'!A10:CO70,"95",D84:E85)/'Титульный лист (очная)'!BB29),IF('Титульный лист (очная)'!BC29=0,100,DSUM('Учебный план (очная)'!A10:CO70,"104",D86:E87)/'Титульный лист (очная)'!BC29))</f>
        <v>#VALUE!</v>
      </c>
      <c r="F67" s="146" t="e">
        <f>MAX(IF('Титульный лист (очная)'!BB25=0,0,DSUM('Учебный план (очная)'!A10:CO70,"28",F68:G69)/'Титульный лист (очная)'!BB25),IF('Титульный лист (очная)'!BC25=0,0,DSUM('Учебный план (очная)'!A10:CO70,"37",F70:G71)/'Титульный лист (очная)'!BC25),IF('Титульный лист (очная)'!BB26=0,0,DSUM('Учебный план (очная)'!A10:CO70,"46",F72:G73)/'Титульный лист (очная)'!BB26),IF('Титульный лист (очная)'!BC26=0,0,DSUM('Учебный план (очная)'!A10:CO70,"55",F74:G75)/'Титульный лист (очная)'!BC26),IF('Титульный лист (очная)'!BB27=0,0,DSUM('Учебный план (очная)'!A10:CO70,"64",F76:G77)/'Титульный лист (очная)'!BB27),IF('Титульный лист (очная)'!BC27=0,0,DSUM('Учебный план (очная)'!A10:CO70,"73",F78:G79)/'Титульный лист (очная)'!BC27),IF('Титульный лист (очная)'!BB28=0,0,DSUM('Учебный план (очная)'!A10:CO70,"82",F80:G81)/'Титульный лист (очная)'!BB28),IF('Титульный лист (очная)'!BC28=0,0,DSUM('Учебный план (очная)'!A10:CO70,"91",F82:G83)/'Титульный лист (очная)'!BC28),IF('Титульный лист (очная)'!BB29=0,0,DSUM('Учебный план (очная)'!A10:CO70,"100",F84:G85)/'Титульный лист (очная)'!BB29),IF('Титульный лист (очная)'!BC29=0,0,DSUM('Учебный план (очная)'!A10:CO70,"109",F86:G87)/'Титульный лист (очная)'!BC29))</f>
        <v>#VALUE!</v>
      </c>
      <c r="G67" s="146" t="e">
        <f>MIN(IF('Титульный лист (очная)'!BB25=0,100,DSUM('Учебный план (очная)'!A10:CO70,"28",F68:G69)/'Титульный лист (очная)'!BB25),IF('Титульный лист (очная)'!BC25=0,100,DSUM('Учебный план (очная)'!A10:CO70,"37",F70:G71)/'Титульный лист (очная)'!BC25),IF('Титульный лист (очная)'!BB26=0,100,DSUM('Учебный план (очная)'!A10:CO70,"46",F72:G73)/'Титульный лист (очная)'!BB26),IF('Титульный лист (очная)'!BC26=0,100,DSUM('Учебный план (очная)'!A10:CO70,"55",F74:G75)/'Титульный лист (очная)'!BC26),IF('Титульный лист (очная)'!BB27=0,100,DSUM('Учебный план (очная)'!A10:CO70,"64",F76:G77)/'Титульный лист (очная)'!BB27),IF('Титульный лист (очная)'!BC27=0,100,DSUM('Учебный план (очная)'!A10:CO70,"73",F78:G79)/'Титульный лист (очная)'!BC27),IF('Титульный лист (очная)'!BB28=0,100,DSUM('Учебный план (очная)'!A10:CO70,"82",F80:G81)/'Титульный лист (очная)'!BB28),IF('Титульный лист (очная)'!BC28=0,100,DSUM('Учебный план (очная)'!A10:CO70,"91",F82:G83)/'Титульный лист (очная)'!BC28),IF('Титульный лист (очная)'!BB29=0,100,DSUM('Учебный план (очная)'!A10:CO70,"100",F84:G85)/'Титульный лист (очная)'!BB29),IF('Титульный лист (очная)'!BC29=0,100,DSUM('Учебный план (очная)'!A10:CO70,"109",F86:G87)/'Титульный лист (очная)'!BC29))</f>
        <v>#VALUE!</v>
      </c>
      <c r="H67" s="147"/>
    </row>
    <row r="68" spans="1:7" s="140" customFormat="1" ht="9.75" hidden="1">
      <c r="A68" s="145" t="str">
        <f>Примечание!B15</f>
        <v>Управление конвенционной подготовки и повышения квалификации</v>
      </c>
      <c r="D68" s="148">
        <v>2</v>
      </c>
      <c r="E68" s="148">
        <v>23</v>
      </c>
      <c r="F68" s="148">
        <v>2</v>
      </c>
      <c r="G68" s="148">
        <v>28</v>
      </c>
    </row>
    <row r="69" spans="1:7" s="140" customFormat="1" ht="9.75" hidden="1">
      <c r="A69" s="245" t="s">
        <v>427</v>
      </c>
      <c r="D69" s="148" t="s">
        <v>5</v>
      </c>
      <c r="E69" s="148" t="s">
        <v>109</v>
      </c>
      <c r="F69" s="148" t="s">
        <v>5</v>
      </c>
      <c r="G69" s="148" t="s">
        <v>109</v>
      </c>
    </row>
    <row r="70" spans="1:7" s="140" customFormat="1" ht="9.75" hidden="1">
      <c r="A70" s="145" t="e">
        <f>Примечание!#REF!</f>
        <v>#REF!</v>
      </c>
      <c r="D70" s="148">
        <v>2</v>
      </c>
      <c r="E70" s="148">
        <v>32</v>
      </c>
      <c r="F70" s="148">
        <v>2</v>
      </c>
      <c r="G70" s="148">
        <v>37</v>
      </c>
    </row>
    <row r="71" spans="1:10" s="140" customFormat="1" ht="9.75" hidden="1">
      <c r="A71" s="145" t="e">
        <f>Примечание!#REF!</f>
        <v>#REF!</v>
      </c>
      <c r="D71" s="148" t="s">
        <v>5</v>
      </c>
      <c r="E71" s="148" t="s">
        <v>109</v>
      </c>
      <c r="F71" s="148" t="s">
        <v>5</v>
      </c>
      <c r="G71" s="148" t="s">
        <v>109</v>
      </c>
      <c r="H71" s="147"/>
      <c r="I71" s="147"/>
      <c r="J71" s="147"/>
    </row>
    <row r="72" spans="1:7" s="140" customFormat="1" ht="9.75" hidden="1">
      <c r="A72" s="145" t="e">
        <f>Примечание!#REF!</f>
        <v>#REF!</v>
      </c>
      <c r="D72" s="148">
        <v>2</v>
      </c>
      <c r="E72" s="148">
        <v>41</v>
      </c>
      <c r="F72" s="148">
        <v>2</v>
      </c>
      <c r="G72" s="148">
        <v>46</v>
      </c>
    </row>
    <row r="73" spans="1:7" s="140" customFormat="1" ht="9.75" hidden="1">
      <c r="A73" s="145" t="e">
        <f>Примечание!#REF!</f>
        <v>#REF!</v>
      </c>
      <c r="D73" s="148" t="s">
        <v>5</v>
      </c>
      <c r="E73" s="148" t="s">
        <v>109</v>
      </c>
      <c r="F73" s="148" t="s">
        <v>5</v>
      </c>
      <c r="G73" s="148" t="s">
        <v>109</v>
      </c>
    </row>
    <row r="74" spans="1:7" s="140" customFormat="1" ht="9.75" hidden="1">
      <c r="A74" s="145" t="e">
        <f>Примечание!#REF!</f>
        <v>#REF!</v>
      </c>
      <c r="D74" s="148">
        <v>2</v>
      </c>
      <c r="E74" s="148">
        <v>50</v>
      </c>
      <c r="F74" s="148">
        <v>2</v>
      </c>
      <c r="G74" s="148">
        <v>55</v>
      </c>
    </row>
    <row r="75" spans="1:7" s="140" customFormat="1" ht="9.75" hidden="1">
      <c r="A75" s="145" t="e">
        <f>Примечание!#REF!</f>
        <v>#REF!</v>
      </c>
      <c r="D75" s="148" t="s">
        <v>5</v>
      </c>
      <c r="E75" s="148" t="s">
        <v>109</v>
      </c>
      <c r="F75" s="148" t="s">
        <v>5</v>
      </c>
      <c r="G75" s="148" t="s">
        <v>109</v>
      </c>
    </row>
    <row r="76" spans="1:7" s="140" customFormat="1" ht="9.75" hidden="1">
      <c r="A76" s="145" t="e">
        <f>Примечание!#REF!</f>
        <v>#REF!</v>
      </c>
      <c r="D76" s="148">
        <v>2</v>
      </c>
      <c r="E76" s="148">
        <v>59</v>
      </c>
      <c r="F76" s="148">
        <v>2</v>
      </c>
      <c r="G76" s="148">
        <v>64</v>
      </c>
    </row>
    <row r="77" spans="4:7" s="140" customFormat="1" ht="9.75" hidden="1">
      <c r="D77" s="148" t="s">
        <v>5</v>
      </c>
      <c r="E77" s="148" t="s">
        <v>109</v>
      </c>
      <c r="F77" s="148" t="s">
        <v>5</v>
      </c>
      <c r="G77" s="148" t="s">
        <v>109</v>
      </c>
    </row>
    <row r="78" spans="1:7" s="140" customFormat="1" ht="9.75" hidden="1">
      <c r="A78" s="731" t="s">
        <v>217</v>
      </c>
      <c r="B78" s="732"/>
      <c r="D78" s="148">
        <v>2</v>
      </c>
      <c r="E78" s="148">
        <v>68</v>
      </c>
      <c r="F78" s="148">
        <v>2</v>
      </c>
      <c r="G78" s="148">
        <v>73</v>
      </c>
    </row>
    <row r="79" spans="1:7" s="140" customFormat="1" ht="20.25" hidden="1">
      <c r="A79" s="145" t="str">
        <f>Примечание!B3</f>
        <v>Предметная цикловая комиссия общего гуманитарного и социально-экономического цикла </v>
      </c>
      <c r="B79" s="149" t="str">
        <f>Примечание!C3</f>
        <v>64 - 1</v>
      </c>
      <c r="D79" s="148" t="s">
        <v>5</v>
      </c>
      <c r="E79" s="148" t="s">
        <v>109</v>
      </c>
      <c r="F79" s="148" t="s">
        <v>5</v>
      </c>
      <c r="G79" s="148" t="s">
        <v>109</v>
      </c>
    </row>
    <row r="80" spans="1:7" s="140" customFormat="1" ht="9.75" hidden="1">
      <c r="A80" s="145" t="str">
        <f>Примечание!B4</f>
        <v>Предметная цикловая комиссия математического и общего естественнонаучного цикла</v>
      </c>
      <c r="B80" s="149" t="str">
        <f>Примечание!C4</f>
        <v>64 - 2</v>
      </c>
      <c r="D80" s="148">
        <v>2</v>
      </c>
      <c r="E80" s="148">
        <v>77</v>
      </c>
      <c r="F80" s="148">
        <v>2</v>
      </c>
      <c r="G80" s="148">
        <v>82</v>
      </c>
    </row>
    <row r="81" spans="1:7" s="140" customFormat="1" ht="20.25" hidden="1">
      <c r="A81" s="145" t="str">
        <f>Примечание!B5</f>
        <v>Предметная цикловая комиссия профессионального  цикла специальности «Судовождение»</v>
      </c>
      <c r="B81" s="149" t="str">
        <f>Примечание!C5</f>
        <v>64 - 3</v>
      </c>
      <c r="D81" s="148" t="s">
        <v>5</v>
      </c>
      <c r="E81" s="148" t="s">
        <v>109</v>
      </c>
      <c r="F81" s="148" t="s">
        <v>5</v>
      </c>
      <c r="G81" s="148" t="s">
        <v>109</v>
      </c>
    </row>
    <row r="82" spans="1:7" s="140" customFormat="1" ht="20.25" hidden="1">
      <c r="A82" s="145" t="str">
        <f>Примечание!B6</f>
        <v>Предметная цикловая комиссия профессионального  цикла специальности «Эксплуатация судовых энергетических установок»</v>
      </c>
      <c r="B82" s="149" t="str">
        <f>Примечание!C6</f>
        <v>64 - 4</v>
      </c>
      <c r="D82" s="148">
        <v>2</v>
      </c>
      <c r="E82" s="148">
        <v>86</v>
      </c>
      <c r="F82" s="148">
        <v>2</v>
      </c>
      <c r="G82" s="148">
        <v>91</v>
      </c>
    </row>
    <row r="83" spans="1:7" s="140" customFormat="1" ht="20.25" hidden="1">
      <c r="A83" s="145" t="str">
        <f>Примечание!B7</f>
        <v>Предметная цикловая комиссия профессионального  цикла специальности «Эксплуатация судового электрооборудования и средств автоматики»</v>
      </c>
      <c r="B83" s="149" t="str">
        <f>Примечание!C7</f>
        <v>64 - 5</v>
      </c>
      <c r="D83" s="148" t="s">
        <v>5</v>
      </c>
      <c r="E83" s="148" t="s">
        <v>109</v>
      </c>
      <c r="F83" s="148" t="s">
        <v>5</v>
      </c>
      <c r="G83" s="148" t="s">
        <v>109</v>
      </c>
    </row>
    <row r="84" spans="1:7" s="140" customFormat="1" ht="20.25" hidden="1">
      <c r="A84" s="145" t="str">
        <f>Примечание!B8</f>
        <v>Предметная цикловая комиссия профессионального  цикла гидротехнических и  общепрофессиональных дисциплин </v>
      </c>
      <c r="B84" s="149" t="str">
        <f>Примечание!C8</f>
        <v>64 - 6</v>
      </c>
      <c r="D84" s="148">
        <v>2</v>
      </c>
      <c r="E84" s="148">
        <v>95</v>
      </c>
      <c r="F84" s="148">
        <v>2</v>
      </c>
      <c r="G84" s="148">
        <v>100</v>
      </c>
    </row>
    <row r="85" spans="1:7" s="140" customFormat="1" ht="9.75" hidden="1">
      <c r="A85" s="145" t="e">
        <f>Примечание!#REF!</f>
        <v>#REF!</v>
      </c>
      <c r="B85" s="149" t="e">
        <f>Примечание!#REF!</f>
        <v>#REF!</v>
      </c>
      <c r="D85" s="148" t="s">
        <v>5</v>
      </c>
      <c r="E85" s="148" t="s">
        <v>109</v>
      </c>
      <c r="F85" s="148" t="s">
        <v>5</v>
      </c>
      <c r="G85" s="148" t="s">
        <v>109</v>
      </c>
    </row>
    <row r="86" spans="1:7" s="140" customFormat="1" ht="9.75" hidden="1">
      <c r="A86" s="145" t="e">
        <f>Примечание!#REF!</f>
        <v>#REF!</v>
      </c>
      <c r="B86" s="149" t="e">
        <f>Примечание!#REF!</f>
        <v>#REF!</v>
      </c>
      <c r="D86" s="148">
        <v>2</v>
      </c>
      <c r="E86" s="148">
        <v>104</v>
      </c>
      <c r="F86" s="148">
        <v>2</v>
      </c>
      <c r="G86" s="148">
        <v>109</v>
      </c>
    </row>
    <row r="87" spans="1:7" s="140" customFormat="1" ht="9.75" hidden="1">
      <c r="A87" s="145" t="e">
        <f>Примечание!#REF!</f>
        <v>#REF!</v>
      </c>
      <c r="B87" s="149" t="e">
        <f>Примечание!#REF!</f>
        <v>#REF!</v>
      </c>
      <c r="D87" s="148" t="s">
        <v>5</v>
      </c>
      <c r="E87" s="148" t="s">
        <v>109</v>
      </c>
      <c r="F87" s="148" t="s">
        <v>5</v>
      </c>
      <c r="G87" s="148" t="s">
        <v>109</v>
      </c>
    </row>
    <row r="88" spans="1:2" s="140" customFormat="1" ht="9.75" hidden="1">
      <c r="A88" s="145" t="e">
        <f>Примечание!#REF!</f>
        <v>#REF!</v>
      </c>
      <c r="B88" s="149" t="e">
        <f>Примечание!#REF!</f>
        <v>#REF!</v>
      </c>
    </row>
    <row r="89" spans="1:2" s="140" customFormat="1" ht="9.75" hidden="1">
      <c r="A89" s="145" t="e">
        <f>Примечание!#REF!</f>
        <v>#REF!</v>
      </c>
      <c r="B89" s="149" t="e">
        <f>Примечание!#REF!</f>
        <v>#REF!</v>
      </c>
    </row>
    <row r="90" spans="1:2" s="140" customFormat="1" ht="9.75" hidden="1">
      <c r="A90" s="145" t="e">
        <f>Примечание!#REF!</f>
        <v>#REF!</v>
      </c>
      <c r="B90" s="149" t="e">
        <f>Примечание!#REF!</f>
        <v>#REF!</v>
      </c>
    </row>
    <row r="91" spans="1:2" s="140" customFormat="1" ht="9.75" hidden="1">
      <c r="A91" s="145" t="e">
        <f>Примечание!#REF!</f>
        <v>#REF!</v>
      </c>
      <c r="B91" s="149" t="e">
        <f>Примечание!#REF!</f>
        <v>#REF!</v>
      </c>
    </row>
    <row r="92" spans="1:2" s="140" customFormat="1" ht="9.75" hidden="1">
      <c r="A92" s="145" t="e">
        <f>Примечание!#REF!</f>
        <v>#REF!</v>
      </c>
      <c r="B92" s="149" t="e">
        <f>Примечание!#REF!</f>
        <v>#REF!</v>
      </c>
    </row>
    <row r="93" spans="1:2" s="140" customFormat="1" ht="9.75" hidden="1">
      <c r="A93" s="145" t="e">
        <f>Примечание!#REF!</f>
        <v>#REF!</v>
      </c>
      <c r="B93" s="149" t="e">
        <f>Примечание!#REF!</f>
        <v>#REF!</v>
      </c>
    </row>
    <row r="94" spans="1:2" s="140" customFormat="1" ht="9.75" hidden="1">
      <c r="A94" s="145" t="e">
        <f>Примечание!#REF!</f>
        <v>#REF!</v>
      </c>
      <c r="B94" s="149" t="e">
        <f>Примечание!#REF!</f>
        <v>#REF!</v>
      </c>
    </row>
    <row r="95" spans="1:2" s="140" customFormat="1" ht="9.75" hidden="1">
      <c r="A95" s="145" t="e">
        <f>Примечание!#REF!</f>
        <v>#REF!</v>
      </c>
      <c r="B95" s="149" t="e">
        <f>Примечание!#REF!</f>
        <v>#REF!</v>
      </c>
    </row>
    <row r="96" spans="1:7" s="140" customFormat="1" ht="12.75" hidden="1">
      <c r="A96" s="145" t="e">
        <f>Примечание!#REF!</f>
        <v>#REF!</v>
      </c>
      <c r="B96" s="149" t="e">
        <f>Примечание!#REF!</f>
        <v>#REF!</v>
      </c>
      <c r="D96" s="138"/>
      <c r="E96" s="138"/>
      <c r="F96" s="138"/>
      <c r="G96" s="138"/>
    </row>
    <row r="97" spans="1:7" s="140" customFormat="1" ht="12.75" hidden="1">
      <c r="A97" s="145" t="e">
        <f>Примечание!#REF!</f>
        <v>#REF!</v>
      </c>
      <c r="B97" s="149" t="e">
        <f>Примечание!#REF!</f>
        <v>#REF!</v>
      </c>
      <c r="D97" s="138"/>
      <c r="E97" s="138"/>
      <c r="F97" s="138"/>
      <c r="G97" s="138"/>
    </row>
    <row r="98" spans="1:7" s="140" customFormat="1" ht="12.75" hidden="1">
      <c r="A98" s="145" t="e">
        <f>Примечание!#REF!</f>
        <v>#REF!</v>
      </c>
      <c r="B98" s="149" t="e">
        <f>Примечание!#REF!</f>
        <v>#REF!</v>
      </c>
      <c r="D98" s="138"/>
      <c r="E98" s="138"/>
      <c r="F98" s="138"/>
      <c r="G98" s="138"/>
    </row>
    <row r="99" ht="12.75" hidden="1"/>
  </sheetData>
  <sheetProtection selectLockedCells="1" selectUnlockedCells="1"/>
  <mergeCells count="63">
    <mergeCell ref="A51:I51"/>
    <mergeCell ref="A30:E30"/>
    <mergeCell ref="A32:E32"/>
    <mergeCell ref="A49:E49"/>
    <mergeCell ref="A38:E38"/>
    <mergeCell ref="A33:E33"/>
    <mergeCell ref="A48:E48"/>
    <mergeCell ref="A42:E42"/>
    <mergeCell ref="A31:E31"/>
    <mergeCell ref="A41:E41"/>
    <mergeCell ref="A47:E47"/>
    <mergeCell ref="A35:E35"/>
    <mergeCell ref="A27:E27"/>
    <mergeCell ref="A46:E46"/>
    <mergeCell ref="A45:E45"/>
    <mergeCell ref="A43:E43"/>
    <mergeCell ref="A28:E28"/>
    <mergeCell ref="A17:C17"/>
    <mergeCell ref="A18:C18"/>
    <mergeCell ref="A1:I1"/>
    <mergeCell ref="F2:G2"/>
    <mergeCell ref="D2:E2"/>
    <mergeCell ref="H2:I2"/>
    <mergeCell ref="A2:C3"/>
    <mergeCell ref="A6:C6"/>
    <mergeCell ref="A7:C7"/>
    <mergeCell ref="A9:C9"/>
    <mergeCell ref="A21:C21"/>
    <mergeCell ref="A29:E29"/>
    <mergeCell ref="A25:E25"/>
    <mergeCell ref="A22:C22"/>
    <mergeCell ref="A26:E26"/>
    <mergeCell ref="A19:C19"/>
    <mergeCell ref="A24:I24"/>
    <mergeCell ref="A20:C20"/>
    <mergeCell ref="A54:E54"/>
    <mergeCell ref="F58:H58"/>
    <mergeCell ref="A34:E34"/>
    <mergeCell ref="A36:E36"/>
    <mergeCell ref="A40:E40"/>
    <mergeCell ref="A37:E37"/>
    <mergeCell ref="A52:E52"/>
    <mergeCell ref="A39:E39"/>
    <mergeCell ref="F52:I52"/>
    <mergeCell ref="A44:E44"/>
    <mergeCell ref="A78:B78"/>
    <mergeCell ref="F53:I53"/>
    <mergeCell ref="A56:H56"/>
    <mergeCell ref="F54:I54"/>
    <mergeCell ref="A53:E53"/>
    <mergeCell ref="F57:H57"/>
    <mergeCell ref="A57:E57"/>
    <mergeCell ref="A58:E58"/>
    <mergeCell ref="F65:G65"/>
    <mergeCell ref="D65:E65"/>
    <mergeCell ref="A8:C8"/>
    <mergeCell ref="A10:C10"/>
    <mergeCell ref="A11:C11"/>
    <mergeCell ref="A16:C16"/>
    <mergeCell ref="A15:C15"/>
    <mergeCell ref="A13:C13"/>
    <mergeCell ref="A14:C14"/>
    <mergeCell ref="A12:C12"/>
  </mergeCells>
  <conditionalFormatting sqref="H6:I22 I26:I49">
    <cfRule type="cellIs" priority="1" dxfId="0" operator="equal" stopIfTrue="1">
      <formula>"норма"</formula>
    </cfRule>
  </conditionalFormatting>
  <dataValidations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1"/>
  <headerFooter alignWithMargins="0">
    <oddFooter>&amp;L&amp;F&amp;C&amp;A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G42" sqref="G42"/>
    </sheetView>
  </sheetViews>
  <sheetFormatPr defaultColWidth="36" defaultRowHeight="12.75"/>
  <cols>
    <col min="1" max="1" width="4.5" style="84" customWidth="1"/>
    <col min="2" max="2" width="94.66015625" style="84" customWidth="1"/>
    <col min="3" max="3" width="51.5" style="84" customWidth="1"/>
    <col min="4" max="4" width="10" style="84" customWidth="1"/>
    <col min="5" max="5" width="10.5" style="84" hidden="1" customWidth="1"/>
    <col min="6" max="16384" width="36" style="84" customWidth="1"/>
  </cols>
  <sheetData>
    <row r="1" spans="1:3" ht="12.75">
      <c r="A1" s="784" t="s">
        <v>545</v>
      </c>
      <c r="B1" s="784"/>
      <c r="C1" s="784"/>
    </row>
    <row r="2" spans="1:3" ht="12.75">
      <c r="A2" s="150" t="s">
        <v>33</v>
      </c>
      <c r="B2" s="150" t="s">
        <v>114</v>
      </c>
      <c r="C2" s="150" t="s">
        <v>34</v>
      </c>
    </row>
    <row r="3" spans="1:3" ht="12.75">
      <c r="A3" s="436">
        <v>1</v>
      </c>
      <c r="B3" s="151" t="s">
        <v>536</v>
      </c>
      <c r="C3" s="199" t="s">
        <v>400</v>
      </c>
    </row>
    <row r="4" spans="1:3" ht="12.75">
      <c r="A4" s="436">
        <v>2</v>
      </c>
      <c r="B4" s="151" t="s">
        <v>537</v>
      </c>
      <c r="C4" s="199" t="s">
        <v>401</v>
      </c>
    </row>
    <row r="5" spans="1:4" ht="12.75">
      <c r="A5" s="436">
        <v>3</v>
      </c>
      <c r="B5" s="151" t="s">
        <v>538</v>
      </c>
      <c r="C5" s="199" t="s">
        <v>402</v>
      </c>
      <c r="D5" s="161"/>
    </row>
    <row r="6" spans="1:3" ht="26.25">
      <c r="A6" s="436">
        <v>4</v>
      </c>
      <c r="B6" s="151" t="s">
        <v>539</v>
      </c>
      <c r="C6" s="199" t="s">
        <v>403</v>
      </c>
    </row>
    <row r="7" spans="1:3" ht="26.25">
      <c r="A7" s="436">
        <v>5</v>
      </c>
      <c r="B7" s="151" t="s">
        <v>540</v>
      </c>
      <c r="C7" s="199" t="s">
        <v>404</v>
      </c>
    </row>
    <row r="8" spans="1:3" ht="12.75">
      <c r="A8" s="436">
        <v>6</v>
      </c>
      <c r="B8" s="151" t="s">
        <v>541</v>
      </c>
      <c r="C8" s="199" t="s">
        <v>405</v>
      </c>
    </row>
    <row r="9" spans="1:3" ht="26.25">
      <c r="A9" s="436">
        <v>7</v>
      </c>
      <c r="B9" s="151" t="s">
        <v>542</v>
      </c>
      <c r="C9" s="199" t="s">
        <v>406</v>
      </c>
    </row>
    <row r="10" spans="1:3" ht="12.75">
      <c r="A10" s="436">
        <v>8</v>
      </c>
      <c r="B10" s="201" t="s">
        <v>407</v>
      </c>
      <c r="C10" s="200">
        <v>33</v>
      </c>
    </row>
    <row r="12" spans="1:3" ht="12.75">
      <c r="A12" s="784" t="s">
        <v>107</v>
      </c>
      <c r="B12" s="784"/>
      <c r="C12" s="784"/>
    </row>
    <row r="13" spans="1:3" ht="12.75">
      <c r="A13" s="150" t="s">
        <v>33</v>
      </c>
      <c r="B13" s="150" t="s">
        <v>115</v>
      </c>
      <c r="C13" s="150" t="s">
        <v>34</v>
      </c>
    </row>
    <row r="14" spans="1:3" ht="12.75">
      <c r="A14" s="436">
        <v>1</v>
      </c>
      <c r="B14" s="151" t="s">
        <v>398</v>
      </c>
      <c r="C14" s="152">
        <v>64</v>
      </c>
    </row>
    <row r="15" spans="1:3" ht="12.75">
      <c r="A15" s="436">
        <v>2</v>
      </c>
      <c r="B15" s="151" t="s">
        <v>399</v>
      </c>
      <c r="C15" s="152">
        <v>5</v>
      </c>
    </row>
    <row r="17" spans="1:3" ht="12.75">
      <c r="A17" s="784" t="s">
        <v>83</v>
      </c>
      <c r="B17" s="784"/>
      <c r="C17" s="784"/>
    </row>
    <row r="18" spans="1:3" ht="12.75">
      <c r="A18" s="150" t="s">
        <v>33</v>
      </c>
      <c r="B18" s="150" t="s">
        <v>7</v>
      </c>
      <c r="C18" s="150" t="s">
        <v>84</v>
      </c>
    </row>
    <row r="19" spans="1:3" ht="12.75">
      <c r="A19" s="436">
        <v>1</v>
      </c>
      <c r="B19" s="158" t="s">
        <v>157</v>
      </c>
      <c r="C19" s="157" t="s">
        <v>156</v>
      </c>
    </row>
    <row r="21" spans="1:3" ht="12.75" customHeight="1" hidden="1">
      <c r="A21" s="783" t="s">
        <v>282</v>
      </c>
      <c r="B21" s="783"/>
      <c r="C21" s="783"/>
    </row>
    <row r="22" spans="1:3" ht="12.75" hidden="1">
      <c r="A22" s="154" t="s">
        <v>33</v>
      </c>
      <c r="B22" s="154" t="s">
        <v>283</v>
      </c>
      <c r="C22" s="154" t="s">
        <v>284</v>
      </c>
    </row>
    <row r="23" spans="1:3" ht="12.75" hidden="1">
      <c r="A23" s="154">
        <v>1</v>
      </c>
      <c r="B23" s="153" t="s">
        <v>231</v>
      </c>
      <c r="C23" s="152" t="s">
        <v>137</v>
      </c>
    </row>
    <row r="24" spans="1:3" ht="12.75" hidden="1">
      <c r="A24" s="154">
        <v>2</v>
      </c>
      <c r="B24" s="153" t="s">
        <v>236</v>
      </c>
      <c r="C24" s="152" t="s">
        <v>138</v>
      </c>
    </row>
    <row r="25" spans="1:3" ht="12.75" hidden="1">
      <c r="A25" s="154">
        <v>3</v>
      </c>
      <c r="B25" s="153" t="s">
        <v>238</v>
      </c>
      <c r="C25" s="152" t="s">
        <v>139</v>
      </c>
    </row>
    <row r="26" spans="1:3" ht="12.75" hidden="1">
      <c r="A26" s="154">
        <v>4</v>
      </c>
      <c r="B26" s="153" t="s">
        <v>240</v>
      </c>
      <c r="C26" s="152" t="s">
        <v>140</v>
      </c>
    </row>
    <row r="27" ht="12.75" hidden="1"/>
    <row r="28" spans="1:3" ht="12.75" customHeight="1">
      <c r="A28" s="783" t="s">
        <v>285</v>
      </c>
      <c r="B28" s="783"/>
      <c r="C28" s="783"/>
    </row>
    <row r="29" spans="1:3" ht="12.75">
      <c r="A29" s="154" t="s">
        <v>33</v>
      </c>
      <c r="B29" s="154" t="s">
        <v>286</v>
      </c>
      <c r="C29" s="154" t="s">
        <v>284</v>
      </c>
    </row>
    <row r="30" spans="1:3" ht="12.75">
      <c r="A30" s="437">
        <v>1</v>
      </c>
      <c r="B30" s="153" t="s">
        <v>287</v>
      </c>
      <c r="C30" s="152" t="s">
        <v>140</v>
      </c>
    </row>
    <row r="31" spans="1:3" ht="12.75">
      <c r="A31" s="437">
        <v>2</v>
      </c>
      <c r="B31" s="151" t="s">
        <v>478</v>
      </c>
      <c r="C31" s="244" t="s">
        <v>138</v>
      </c>
    </row>
    <row r="32" spans="1:3" ht="12.75">
      <c r="A32" s="437">
        <v>3</v>
      </c>
      <c r="B32" s="151" t="s">
        <v>479</v>
      </c>
      <c r="C32" s="244" t="s">
        <v>137</v>
      </c>
    </row>
    <row r="33" spans="1:3" ht="12.75">
      <c r="A33" s="437">
        <v>4</v>
      </c>
      <c r="B33" s="151" t="s">
        <v>420</v>
      </c>
      <c r="C33" s="244" t="s">
        <v>139</v>
      </c>
    </row>
    <row r="34" spans="1:3" ht="12.75">
      <c r="A34" s="437">
        <v>5</v>
      </c>
      <c r="B34" s="151" t="s">
        <v>547</v>
      </c>
      <c r="C34" s="244"/>
    </row>
    <row r="36" spans="1:3" ht="12.75" customHeight="1">
      <c r="A36" s="783" t="s">
        <v>317</v>
      </c>
      <c r="B36" s="783"/>
      <c r="C36" s="783"/>
    </row>
    <row r="37" spans="1:5" ht="12.75">
      <c r="A37" s="154" t="s">
        <v>33</v>
      </c>
      <c r="B37" s="154" t="s">
        <v>283</v>
      </c>
      <c r="C37" s="155" t="s">
        <v>343</v>
      </c>
      <c r="E37" s="84">
        <v>756</v>
      </c>
    </row>
    <row r="38" spans="1:5" ht="12.75">
      <c r="A38" s="437">
        <v>1</v>
      </c>
      <c r="B38" s="91" t="s">
        <v>415</v>
      </c>
      <c r="C38" s="91" t="s">
        <v>562</v>
      </c>
      <c r="E38" s="84">
        <v>69</v>
      </c>
    </row>
    <row r="39" spans="1:5" ht="12.75">
      <c r="A39" s="437">
        <v>2</v>
      </c>
      <c r="B39" s="91" t="s">
        <v>416</v>
      </c>
      <c r="C39" s="151" t="s">
        <v>546</v>
      </c>
      <c r="E39" s="84">
        <v>18</v>
      </c>
    </row>
    <row r="40" spans="1:5" ht="12.75">
      <c r="A40" s="437">
        <v>3</v>
      </c>
      <c r="B40" s="91" t="s">
        <v>421</v>
      </c>
      <c r="C40" s="151" t="s">
        <v>563</v>
      </c>
      <c r="E40" s="84">
        <v>227</v>
      </c>
    </row>
    <row r="41" spans="1:5" ht="12.75">
      <c r="A41" s="437">
        <v>4</v>
      </c>
      <c r="B41" s="91" t="s">
        <v>422</v>
      </c>
      <c r="C41" s="151" t="s">
        <v>564</v>
      </c>
      <c r="E41" s="84">
        <v>442</v>
      </c>
    </row>
    <row r="43" spans="2:3" ht="54" customHeight="1">
      <c r="B43" s="782" t="s">
        <v>362</v>
      </c>
      <c r="C43" s="782"/>
    </row>
    <row r="45" spans="2:3" ht="31.5" customHeight="1">
      <c r="B45" s="781"/>
      <c r="C45" s="781"/>
    </row>
  </sheetData>
  <sheetProtection password="CF88" sheet="1" formatCells="0" formatColumns="0" formatRows="0" insertColumns="0" insertRows="0" insertHyperlinks="0" deleteColumns="0" deleteRows="0" sort="0" autoFilter="0" pivotTables="0"/>
  <mergeCells count="8">
    <mergeCell ref="B45:C45"/>
    <mergeCell ref="B43:C43"/>
    <mergeCell ref="A36:C36"/>
    <mergeCell ref="A28:C28"/>
    <mergeCell ref="A1:C1"/>
    <mergeCell ref="A17:C17"/>
    <mergeCell ref="A12:C12"/>
    <mergeCell ref="A21:C21"/>
  </mergeCells>
  <printOptions horizontalCentered="1"/>
  <pageMargins left="0" right="0" top="0.5905511811023623" bottom="0.3937007874015748" header="0.11811023622047245" footer="0.11811023622047245"/>
  <pageSetup fitToHeight="10" fitToWidth="1" horizontalDpi="600" verticalDpi="600" orientation="landscape" paperSize="8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0" zoomScaleNormal="80" zoomScalePageLayoutView="0" workbookViewId="0" topLeftCell="A1">
      <selection activeCell="B15" sqref="B15"/>
    </sheetView>
  </sheetViews>
  <sheetFormatPr defaultColWidth="9.33203125" defaultRowHeight="12.75"/>
  <cols>
    <col min="1" max="1" width="9.33203125" style="84" customWidth="1"/>
    <col min="2" max="2" width="100.83203125" style="84" customWidth="1"/>
    <col min="3" max="4" width="9.33203125" style="84" customWidth="1"/>
    <col min="5" max="5" width="100.83203125" style="84" customWidth="1"/>
    <col min="6" max="16384" width="9.33203125" style="84" customWidth="1"/>
  </cols>
  <sheetData>
    <row r="1" spans="1:5" ht="32.25" customHeight="1">
      <c r="A1" s="785" t="s">
        <v>111</v>
      </c>
      <c r="B1" s="785"/>
      <c r="C1" s="477"/>
      <c r="D1" s="785" t="s">
        <v>0</v>
      </c>
      <c r="E1" s="785"/>
    </row>
    <row r="2" spans="1:5" ht="26.25">
      <c r="A2" s="478" t="s">
        <v>321</v>
      </c>
      <c r="B2" s="479" t="s">
        <v>249</v>
      </c>
      <c r="C2" s="477"/>
      <c r="D2" s="480" t="s">
        <v>330</v>
      </c>
      <c r="E2" s="481" t="s">
        <v>251</v>
      </c>
    </row>
    <row r="3" spans="1:5" ht="26.25">
      <c r="A3" s="478" t="s">
        <v>322</v>
      </c>
      <c r="B3" s="479" t="s">
        <v>242</v>
      </c>
      <c r="C3" s="477"/>
      <c r="D3" s="480" t="s">
        <v>331</v>
      </c>
      <c r="E3" s="481" t="s">
        <v>252</v>
      </c>
    </row>
    <row r="4" spans="1:5" ht="27" customHeight="1">
      <c r="A4" s="478" t="s">
        <v>323</v>
      </c>
      <c r="B4" s="479" t="s">
        <v>243</v>
      </c>
      <c r="C4" s="477"/>
      <c r="D4" s="480" t="s">
        <v>332</v>
      </c>
      <c r="E4" s="481" t="s">
        <v>253</v>
      </c>
    </row>
    <row r="5" spans="1:5" ht="26.25">
      <c r="A5" s="478" t="s">
        <v>324</v>
      </c>
      <c r="B5" s="482" t="s">
        <v>244</v>
      </c>
      <c r="C5" s="477"/>
      <c r="D5" s="480" t="s">
        <v>333</v>
      </c>
      <c r="E5" s="481" t="s">
        <v>254</v>
      </c>
    </row>
    <row r="6" spans="1:5" ht="26.25">
      <c r="A6" s="478" t="s">
        <v>325</v>
      </c>
      <c r="B6" s="479" t="s">
        <v>250</v>
      </c>
      <c r="C6" s="477"/>
      <c r="D6" s="480" t="s">
        <v>334</v>
      </c>
      <c r="E6" s="481" t="s">
        <v>255</v>
      </c>
    </row>
    <row r="7" spans="1:5" ht="28.5" customHeight="1">
      <c r="A7" s="478" t="s">
        <v>326</v>
      </c>
      <c r="B7" s="481" t="s">
        <v>245</v>
      </c>
      <c r="C7" s="477"/>
      <c r="D7" s="480" t="s">
        <v>335</v>
      </c>
      <c r="E7" s="481" t="s">
        <v>256</v>
      </c>
    </row>
    <row r="8" spans="1:5" ht="27.75" customHeight="1">
      <c r="A8" s="478" t="s">
        <v>327</v>
      </c>
      <c r="B8" s="481" t="s">
        <v>246</v>
      </c>
      <c r="C8" s="477"/>
      <c r="D8" s="480" t="s">
        <v>336</v>
      </c>
      <c r="E8" s="483" t="s">
        <v>257</v>
      </c>
    </row>
    <row r="9" spans="1:5" ht="26.25">
      <c r="A9" s="478" t="s">
        <v>328</v>
      </c>
      <c r="B9" s="481" t="s">
        <v>247</v>
      </c>
      <c r="C9" s="477"/>
      <c r="D9" s="480" t="s">
        <v>337</v>
      </c>
      <c r="E9" s="481" t="s">
        <v>258</v>
      </c>
    </row>
    <row r="10" spans="1:5" ht="26.25">
      <c r="A10" s="478" t="s">
        <v>329</v>
      </c>
      <c r="B10" s="481" t="s">
        <v>248</v>
      </c>
      <c r="C10" s="477"/>
      <c r="D10" s="480" t="s">
        <v>338</v>
      </c>
      <c r="E10" s="481" t="s">
        <v>259</v>
      </c>
    </row>
    <row r="11" spans="1:2" ht="25.5" customHeight="1">
      <c r="A11" s="85"/>
      <c r="B11" s="86"/>
    </row>
    <row r="12" spans="1:2" ht="12.75">
      <c r="A12" s="85"/>
      <c r="B12" s="86"/>
    </row>
    <row r="13" spans="1:2" ht="12.75">
      <c r="A13" s="85"/>
      <c r="B13" s="86"/>
    </row>
    <row r="14" spans="1:2" ht="13.5">
      <c r="A14" s="87"/>
      <c r="B14" s="88"/>
    </row>
    <row r="15" spans="1:2" ht="12.75">
      <c r="A15" s="85"/>
      <c r="B15" s="88"/>
    </row>
    <row r="16" spans="1:2" ht="12.75">
      <c r="A16" s="85"/>
      <c r="B16" s="88"/>
    </row>
    <row r="17" spans="1:2" ht="12.75">
      <c r="A17" s="85"/>
      <c r="B17" s="88"/>
    </row>
    <row r="18" spans="1:2" ht="12.75">
      <c r="A18" s="85"/>
      <c r="B18" s="88"/>
    </row>
    <row r="19" spans="1:2" ht="12.75">
      <c r="A19" s="85"/>
      <c r="B19" s="88"/>
    </row>
    <row r="20" spans="1:2" ht="13.5">
      <c r="A20" s="87"/>
      <c r="B20" s="88"/>
    </row>
    <row r="21" spans="1:2" ht="12.75">
      <c r="A21" s="85"/>
      <c r="B21" s="88"/>
    </row>
    <row r="22" spans="1:2" ht="12.75">
      <c r="A22" s="85"/>
      <c r="B22" s="88"/>
    </row>
    <row r="23" spans="1:2" ht="12.75">
      <c r="A23" s="85"/>
      <c r="B23" s="88"/>
    </row>
    <row r="24" spans="1:2" ht="12.75">
      <c r="A24" s="85"/>
      <c r="B24" s="88"/>
    </row>
    <row r="25" spans="1:2" ht="12.75">
      <c r="A25" s="86"/>
      <c r="B25" s="88"/>
    </row>
    <row r="26" spans="1:2" ht="12.75">
      <c r="A26" s="85"/>
      <c r="B26" s="88"/>
    </row>
    <row r="27" spans="1:2" ht="12.75">
      <c r="A27" s="85"/>
      <c r="B27" s="88"/>
    </row>
    <row r="28" ht="12.75">
      <c r="B28" s="88"/>
    </row>
    <row r="29" ht="12.75">
      <c r="B29" s="88"/>
    </row>
    <row r="30" ht="12.75">
      <c r="B30" s="88"/>
    </row>
    <row r="31" ht="12.75">
      <c r="B31" s="88"/>
    </row>
    <row r="32" ht="12.75">
      <c r="B32" s="88"/>
    </row>
    <row r="33" ht="12.75">
      <c r="B33" s="88"/>
    </row>
    <row r="34" ht="12.75">
      <c r="B34" s="88"/>
    </row>
    <row r="35" ht="12.75">
      <c r="B35" s="88"/>
    </row>
    <row r="36" ht="12.75">
      <c r="B36" s="88"/>
    </row>
    <row r="37" ht="12.75">
      <c r="B37" s="89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="130" zoomScaleNormal="130" zoomScalePageLayoutView="0" workbookViewId="0" topLeftCell="A1">
      <selection activeCell="A3" sqref="A3:A28"/>
    </sheetView>
  </sheetViews>
  <sheetFormatPr defaultColWidth="36" defaultRowHeight="12.75"/>
  <cols>
    <col min="1" max="1" width="4.5" style="77" customWidth="1"/>
    <col min="2" max="2" width="32.16015625" style="77" customWidth="1"/>
    <col min="3" max="3" width="92.33203125" style="77" customWidth="1"/>
    <col min="4" max="16384" width="36" style="77" customWidth="1"/>
  </cols>
  <sheetData>
    <row r="1" spans="1:3" ht="12.75">
      <c r="A1" s="786" t="s">
        <v>112</v>
      </c>
      <c r="B1" s="786"/>
      <c r="C1" s="786"/>
    </row>
    <row r="2" spans="1:3" ht="12.75">
      <c r="A2" s="80" t="s">
        <v>33</v>
      </c>
      <c r="B2" s="80" t="s">
        <v>113</v>
      </c>
      <c r="C2" s="81" t="s">
        <v>7</v>
      </c>
    </row>
    <row r="3" spans="1:3" ht="12.75">
      <c r="A3" s="484">
        <v>1</v>
      </c>
      <c r="B3" s="246" t="s">
        <v>160</v>
      </c>
      <c r="C3" s="247" t="s">
        <v>429</v>
      </c>
    </row>
    <row r="4" spans="1:3" ht="12.75">
      <c r="A4" s="485">
        <v>2</v>
      </c>
      <c r="B4" s="78" t="s">
        <v>160</v>
      </c>
      <c r="C4" s="248" t="s">
        <v>161</v>
      </c>
    </row>
    <row r="5" spans="1:3" ht="12.75">
      <c r="A5" s="484">
        <v>3</v>
      </c>
      <c r="B5" s="78" t="s">
        <v>160</v>
      </c>
      <c r="C5" s="248" t="s">
        <v>268</v>
      </c>
    </row>
    <row r="6" spans="1:3" ht="12.75">
      <c r="A6" s="485">
        <v>4</v>
      </c>
      <c r="B6" s="78" t="s">
        <v>160</v>
      </c>
      <c r="C6" s="248" t="s">
        <v>162</v>
      </c>
    </row>
    <row r="7" spans="1:3" ht="12.75">
      <c r="A7" s="484">
        <v>5</v>
      </c>
      <c r="B7" s="78" t="s">
        <v>160</v>
      </c>
      <c r="C7" s="248" t="s">
        <v>261</v>
      </c>
    </row>
    <row r="8" spans="1:3" ht="12.75">
      <c r="A8" s="485">
        <v>6</v>
      </c>
      <c r="B8" s="78" t="s">
        <v>160</v>
      </c>
      <c r="C8" s="248" t="s">
        <v>163</v>
      </c>
    </row>
    <row r="9" spans="1:3" ht="12.75">
      <c r="A9" s="484">
        <v>7</v>
      </c>
      <c r="B9" s="78" t="s">
        <v>160</v>
      </c>
      <c r="C9" s="248" t="s">
        <v>270</v>
      </c>
    </row>
    <row r="10" spans="1:3" ht="12.75">
      <c r="A10" s="485">
        <v>8</v>
      </c>
      <c r="B10" s="78" t="s">
        <v>160</v>
      </c>
      <c r="C10" s="248" t="s">
        <v>260</v>
      </c>
    </row>
    <row r="11" spans="1:3" ht="12.75">
      <c r="A11" s="484">
        <v>9</v>
      </c>
      <c r="B11" s="78" t="s">
        <v>160</v>
      </c>
      <c r="C11" s="248" t="s">
        <v>264</v>
      </c>
    </row>
    <row r="12" spans="1:3" ht="12.75">
      <c r="A12" s="485">
        <v>10</v>
      </c>
      <c r="B12" s="78" t="s">
        <v>160</v>
      </c>
      <c r="C12" s="248" t="s">
        <v>271</v>
      </c>
    </row>
    <row r="13" spans="1:3" ht="12.75">
      <c r="A13" s="484">
        <v>11</v>
      </c>
      <c r="B13" s="78" t="s">
        <v>160</v>
      </c>
      <c r="C13" s="248" t="s">
        <v>272</v>
      </c>
    </row>
    <row r="14" spans="1:3" ht="12.75">
      <c r="A14" s="485">
        <v>12</v>
      </c>
      <c r="B14" s="78" t="s">
        <v>160</v>
      </c>
      <c r="C14" s="248" t="s">
        <v>265</v>
      </c>
    </row>
    <row r="15" spans="1:3" ht="12.75">
      <c r="A15" s="484">
        <v>13</v>
      </c>
      <c r="B15" s="78" t="s">
        <v>160</v>
      </c>
      <c r="C15" s="248" t="s">
        <v>266</v>
      </c>
    </row>
    <row r="16" spans="1:3" ht="12.75">
      <c r="A16" s="485">
        <v>14</v>
      </c>
      <c r="B16" s="78" t="s">
        <v>160</v>
      </c>
      <c r="C16" s="248" t="s">
        <v>267</v>
      </c>
    </row>
    <row r="17" spans="1:3" ht="12.75">
      <c r="A17" s="484">
        <v>15</v>
      </c>
      <c r="B17" s="78" t="s">
        <v>160</v>
      </c>
      <c r="C17" s="248" t="s">
        <v>273</v>
      </c>
    </row>
    <row r="18" spans="1:3" ht="12.75">
      <c r="A18" s="485">
        <v>16</v>
      </c>
      <c r="B18" s="78" t="s">
        <v>160</v>
      </c>
      <c r="C18" s="248" t="s">
        <v>274</v>
      </c>
    </row>
    <row r="19" spans="1:3" ht="12.75">
      <c r="A19" s="484">
        <v>17</v>
      </c>
      <c r="B19" s="78" t="s">
        <v>160</v>
      </c>
      <c r="C19" s="248" t="s">
        <v>275</v>
      </c>
    </row>
    <row r="20" spans="1:3" ht="12.75">
      <c r="A20" s="485">
        <v>18</v>
      </c>
      <c r="B20" s="78" t="s">
        <v>160</v>
      </c>
      <c r="C20" s="248" t="s">
        <v>262</v>
      </c>
    </row>
    <row r="21" spans="1:3" ht="12.75">
      <c r="A21" s="484">
        <v>19</v>
      </c>
      <c r="B21" s="78" t="s">
        <v>164</v>
      </c>
      <c r="C21" s="248" t="s">
        <v>428</v>
      </c>
    </row>
    <row r="22" spans="1:3" ht="12.75">
      <c r="A22" s="485">
        <v>20</v>
      </c>
      <c r="B22" s="78" t="s">
        <v>164</v>
      </c>
      <c r="C22" s="248" t="s">
        <v>263</v>
      </c>
    </row>
    <row r="23" spans="1:3" ht="12.75">
      <c r="A23" s="484">
        <v>21</v>
      </c>
      <c r="B23" s="78" t="s">
        <v>164</v>
      </c>
      <c r="C23" s="248" t="s">
        <v>269</v>
      </c>
    </row>
    <row r="24" spans="1:3" ht="12.75">
      <c r="A24" s="485">
        <v>22</v>
      </c>
      <c r="B24" s="79" t="s">
        <v>165</v>
      </c>
      <c r="C24" s="248" t="s">
        <v>168</v>
      </c>
    </row>
    <row r="25" spans="1:3" ht="12.75">
      <c r="A25" s="484">
        <v>23</v>
      </c>
      <c r="B25" s="79" t="s">
        <v>165</v>
      </c>
      <c r="C25" s="248" t="s">
        <v>169</v>
      </c>
    </row>
    <row r="26" spans="1:3" ht="12.75">
      <c r="A26" s="485">
        <v>24</v>
      </c>
      <c r="B26" s="79" t="s">
        <v>165</v>
      </c>
      <c r="C26" s="248" t="s">
        <v>170</v>
      </c>
    </row>
    <row r="27" spans="1:3" ht="12.75">
      <c r="A27" s="484">
        <v>25</v>
      </c>
      <c r="B27" s="76" t="s">
        <v>166</v>
      </c>
      <c r="C27" s="248" t="s">
        <v>171</v>
      </c>
    </row>
    <row r="28" spans="1:3" ht="12.75">
      <c r="A28" s="485">
        <v>26</v>
      </c>
      <c r="B28" s="76" t="s">
        <v>166</v>
      </c>
      <c r="C28" s="248" t="s">
        <v>167</v>
      </c>
    </row>
    <row r="31" ht="12.75">
      <c r="C31" s="82"/>
    </row>
    <row r="32" ht="12.75">
      <c r="C32" s="82"/>
    </row>
    <row r="33" ht="12.75">
      <c r="C33" s="82"/>
    </row>
    <row r="34" ht="12.75">
      <c r="C34" s="82"/>
    </row>
    <row r="35" ht="12.75">
      <c r="C35" s="82"/>
    </row>
    <row r="36" ht="12.75">
      <c r="C36" s="82"/>
    </row>
    <row r="37" spans="3:4" ht="12.75">
      <c r="C37" s="82"/>
      <c r="D37" s="77" t="s">
        <v>24</v>
      </c>
    </row>
    <row r="38" ht="12.75">
      <c r="C38" s="82"/>
    </row>
    <row r="39" ht="12.75">
      <c r="C39" s="82"/>
    </row>
    <row r="40" ht="12.75">
      <c r="C40" s="82"/>
    </row>
    <row r="41" ht="12.75">
      <c r="C41" s="82"/>
    </row>
    <row r="42" ht="12.75">
      <c r="C42" s="82"/>
    </row>
    <row r="43" ht="12.75">
      <c r="C43" s="82"/>
    </row>
    <row r="44" ht="12.75">
      <c r="C44" s="82"/>
    </row>
    <row r="45" ht="12.75">
      <c r="C45" s="82"/>
    </row>
    <row r="46" ht="12.75">
      <c r="C46" s="82"/>
    </row>
    <row r="47" ht="12.75">
      <c r="C47" s="82"/>
    </row>
    <row r="48" ht="12.75">
      <c r="C48" s="82"/>
    </row>
    <row r="49" ht="12.75">
      <c r="C49" s="82"/>
    </row>
    <row r="50" ht="12.75">
      <c r="C50" s="82"/>
    </row>
    <row r="51" ht="12.75">
      <c r="C51" s="82"/>
    </row>
    <row r="52" ht="12.75">
      <c r="C52" s="82"/>
    </row>
    <row r="53" ht="12.75">
      <c r="C53" s="82"/>
    </row>
    <row r="54" ht="12.75">
      <c r="C54" s="82"/>
    </row>
    <row r="55" ht="12.75">
      <c r="C55" s="82"/>
    </row>
    <row r="56" ht="12.75">
      <c r="C56" s="82"/>
    </row>
    <row r="57" ht="12.75">
      <c r="C57" s="82"/>
    </row>
    <row r="58" ht="12.75">
      <c r="C58" s="83"/>
    </row>
  </sheetData>
  <sheetProtection password="CF88" sheet="1"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" right="0" top="0.5905511811023623" bottom="0.3937007874015748" header="0.11811023622047245" footer="0.11811023622047245"/>
  <pageSetup fitToHeight="100" fitToWidth="1" horizontalDpi="600" verticalDpi="600" orientation="landscape" paperSize="8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showZeros="0" zoomScale="85" zoomScaleNormal="85" zoomScalePageLayoutView="0" workbookViewId="0" topLeftCell="A1">
      <selection activeCell="B71" sqref="B71"/>
    </sheetView>
  </sheetViews>
  <sheetFormatPr defaultColWidth="9.33203125" defaultRowHeight="12.75"/>
  <cols>
    <col min="1" max="1" width="14.16015625" style="0" customWidth="1"/>
    <col min="2" max="2" width="33.33203125" style="0" customWidth="1"/>
    <col min="3" max="3" width="0.1640625" style="0" customWidth="1"/>
    <col min="4" max="4" width="8" style="0" customWidth="1"/>
    <col min="5" max="5" width="9.83203125" style="0" customWidth="1"/>
    <col min="6" max="7" width="7.66015625" style="0" customWidth="1"/>
    <col min="8" max="8" width="6.66015625" style="0" customWidth="1"/>
    <col min="10" max="10" width="2.83203125" style="0" customWidth="1"/>
    <col min="17" max="17" width="53.33203125" style="0" customWidth="1"/>
  </cols>
  <sheetData>
    <row r="1" spans="1:17" ht="12.75" customHeight="1">
      <c r="A1" s="798" t="s">
        <v>123</v>
      </c>
      <c r="B1" s="801" t="s">
        <v>60</v>
      </c>
      <c r="C1" s="801" t="s">
        <v>61</v>
      </c>
      <c r="D1" s="804" t="s">
        <v>364</v>
      </c>
      <c r="E1" s="805"/>
      <c r="F1" s="805"/>
      <c r="G1" s="805"/>
      <c r="H1" s="805"/>
      <c r="I1" s="790" t="s">
        <v>1</v>
      </c>
      <c r="K1" s="794" t="s">
        <v>364</v>
      </c>
      <c r="L1" s="795"/>
      <c r="M1" s="795"/>
      <c r="N1" s="795"/>
      <c r="O1" s="795"/>
      <c r="P1" s="787" t="s">
        <v>1</v>
      </c>
      <c r="Q1" s="224"/>
    </row>
    <row r="2" spans="1:17" ht="12.75" customHeight="1">
      <c r="A2" s="799"/>
      <c r="B2" s="802"/>
      <c r="C2" s="802"/>
      <c r="D2" s="600"/>
      <c r="E2" s="555"/>
      <c r="F2" s="555"/>
      <c r="G2" s="555"/>
      <c r="H2" s="555"/>
      <c r="I2" s="791"/>
      <c r="K2" s="796"/>
      <c r="L2" s="797"/>
      <c r="M2" s="797"/>
      <c r="N2" s="797"/>
      <c r="O2" s="797"/>
      <c r="P2" s="788"/>
      <c r="Q2" s="225"/>
    </row>
    <row r="3" spans="1:17" ht="12.75" customHeight="1">
      <c r="A3" s="799"/>
      <c r="B3" s="802"/>
      <c r="C3" s="802"/>
      <c r="D3" s="806" t="s">
        <v>53</v>
      </c>
      <c r="E3" s="806" t="s">
        <v>54</v>
      </c>
      <c r="F3" s="806" t="s">
        <v>55</v>
      </c>
      <c r="G3" s="806" t="s">
        <v>56</v>
      </c>
      <c r="H3" s="809" t="s">
        <v>365</v>
      </c>
      <c r="I3" s="791"/>
      <c r="K3" s="793" t="s">
        <v>53</v>
      </c>
      <c r="L3" s="789" t="s">
        <v>54</v>
      </c>
      <c r="M3" s="789" t="s">
        <v>55</v>
      </c>
      <c r="N3" s="789" t="s">
        <v>56</v>
      </c>
      <c r="O3" s="789" t="s">
        <v>365</v>
      </c>
      <c r="P3" s="788"/>
      <c r="Q3" s="225"/>
    </row>
    <row r="4" spans="1:17" ht="12.75" customHeight="1">
      <c r="A4" s="799"/>
      <c r="B4" s="802"/>
      <c r="C4" s="802"/>
      <c r="D4" s="807"/>
      <c r="E4" s="807"/>
      <c r="F4" s="807"/>
      <c r="G4" s="807"/>
      <c r="H4" s="810"/>
      <c r="I4" s="791"/>
      <c r="K4" s="793"/>
      <c r="L4" s="789"/>
      <c r="M4" s="789"/>
      <c r="N4" s="789"/>
      <c r="O4" s="789"/>
      <c r="P4" s="788"/>
      <c r="Q4" s="225"/>
    </row>
    <row r="5" spans="1:17" ht="12.75">
      <c r="A5" s="799"/>
      <c r="B5" s="802"/>
      <c r="C5" s="802"/>
      <c r="D5" s="807"/>
      <c r="E5" s="807"/>
      <c r="F5" s="807"/>
      <c r="G5" s="807"/>
      <c r="H5" s="810"/>
      <c r="I5" s="791"/>
      <c r="K5" s="793"/>
      <c r="L5" s="789"/>
      <c r="M5" s="789"/>
      <c r="N5" s="789"/>
      <c r="O5" s="789"/>
      <c r="P5" s="788"/>
      <c r="Q5" s="225"/>
    </row>
    <row r="6" spans="1:17" ht="12.75">
      <c r="A6" s="799"/>
      <c r="B6" s="802"/>
      <c r="C6" s="802"/>
      <c r="D6" s="807"/>
      <c r="E6" s="807"/>
      <c r="F6" s="807"/>
      <c r="G6" s="807"/>
      <c r="H6" s="810"/>
      <c r="I6" s="791"/>
      <c r="K6" s="793"/>
      <c r="L6" s="789"/>
      <c r="M6" s="789"/>
      <c r="N6" s="789"/>
      <c r="O6" s="789"/>
      <c r="P6" s="788"/>
      <c r="Q6" s="225"/>
    </row>
    <row r="7" spans="1:17" ht="13.5" thickBot="1">
      <c r="A7" s="800"/>
      <c r="B7" s="803"/>
      <c r="C7" s="803"/>
      <c r="D7" s="808"/>
      <c r="E7" s="808"/>
      <c r="F7" s="808"/>
      <c r="G7" s="808"/>
      <c r="H7" s="811"/>
      <c r="I7" s="792"/>
      <c r="K7" s="793"/>
      <c r="L7" s="789"/>
      <c r="M7" s="789"/>
      <c r="N7" s="789"/>
      <c r="O7" s="789"/>
      <c r="P7" s="788"/>
      <c r="Q7" s="225"/>
    </row>
    <row r="8" spans="1:17" ht="12.75">
      <c r="A8" s="212">
        <f>'Учебный план (очная)'!A27</f>
        <v>0</v>
      </c>
      <c r="B8" s="213" t="str">
        <f>'Учебный план (очная)'!B27</f>
        <v>Обязательная часть циклов ППССЗ</v>
      </c>
      <c r="C8" s="213">
        <f>'Учебный план (очная)'!C27</f>
        <v>0</v>
      </c>
      <c r="D8" s="213">
        <f>'Учебный план (очная)'!D27</f>
        <v>0</v>
      </c>
      <c r="E8" s="213">
        <f>'Учебный план (очная)'!E27</f>
        <v>0</v>
      </c>
      <c r="F8" s="213">
        <f>'Учебный план (очная)'!F27</f>
        <v>0</v>
      </c>
      <c r="G8" s="213">
        <f>'Учебный план (очная)'!H27</f>
        <v>0</v>
      </c>
      <c r="H8" s="213">
        <f>'Учебный план (очная)'!I27</f>
        <v>0</v>
      </c>
      <c r="I8" s="214">
        <f>'Учебный план (очная)'!N27</f>
        <v>3934</v>
      </c>
      <c r="J8" s="208"/>
      <c r="K8" s="226">
        <f>'Учебный план (заочная)'!D18</f>
        <v>0</v>
      </c>
      <c r="L8" s="222">
        <f>'Учебный план (заочная)'!E18</f>
        <v>0</v>
      </c>
      <c r="M8" s="222">
        <f>'Учебный план (заочная)'!F18</f>
        <v>0</v>
      </c>
      <c r="N8" s="222">
        <f>'Учебный план (заочная)'!H18</f>
        <v>0</v>
      </c>
      <c r="O8" s="222">
        <f>'Учебный план (заочная)'!I18</f>
        <v>0</v>
      </c>
      <c r="P8" s="210">
        <f>'Учебный план (заочная)'!N9</f>
        <v>3934</v>
      </c>
      <c r="Q8" s="225"/>
    </row>
    <row r="9" spans="1:17" ht="12.75">
      <c r="A9" s="215" t="str">
        <f>'Учебный план (очная)'!A28</f>
        <v>ОГСЭ.00</v>
      </c>
      <c r="B9" s="169" t="str">
        <f>'Учебный план (очная)'!B28</f>
        <v>Общий гуманитарный и социально-экономический цикл</v>
      </c>
      <c r="C9" s="169">
        <f>'Учебный план (очная)'!C28</f>
        <v>0</v>
      </c>
      <c r="D9" s="169">
        <f>'Учебный план (очная)'!D28</f>
        <v>0</v>
      </c>
      <c r="E9" s="169">
        <f>'Учебный план (очная)'!E28</f>
        <v>0</v>
      </c>
      <c r="F9" s="169">
        <f>'Учебный план (очная)'!F28</f>
        <v>0</v>
      </c>
      <c r="G9" s="169">
        <f>'Учебный план (очная)'!H28</f>
        <v>0</v>
      </c>
      <c r="H9" s="169">
        <f>'Учебный план (очная)'!I28</f>
        <v>0</v>
      </c>
      <c r="I9" s="216">
        <f>'Учебный план (очная)'!N28</f>
        <v>717</v>
      </c>
      <c r="K9" s="227">
        <f>'Учебный план (заочная)'!D19</f>
        <v>0</v>
      </c>
      <c r="L9" s="223">
        <f>'Учебный план (заочная)'!E19</f>
        <v>0</v>
      </c>
      <c r="M9" s="223">
        <f>'Учебный план (заочная)'!F19</f>
        <v>0</v>
      </c>
      <c r="N9" s="223">
        <f>'Учебный план (заочная)'!H19</f>
        <v>0</v>
      </c>
      <c r="O9" s="223">
        <f>'Учебный план (заочная)'!I19</f>
        <v>0</v>
      </c>
      <c r="P9" s="211">
        <f>'Учебный план (заочная)'!N10</f>
        <v>717</v>
      </c>
      <c r="Q9" s="225"/>
    </row>
    <row r="10" spans="1:17" ht="12.75">
      <c r="A10" s="215" t="str">
        <f>'Учебный план (очная)'!A29</f>
        <v>ОГСЭ.01.</v>
      </c>
      <c r="B10" s="169" t="str">
        <f>'Учебный план (очная)'!B29</f>
        <v>Основы философии</v>
      </c>
      <c r="C10" s="169">
        <f>'Учебный план (очная)'!C29</f>
        <v>0</v>
      </c>
      <c r="D10" s="169">
        <f>'Учебный план (очная)'!D29</f>
        <v>0</v>
      </c>
      <c r="E10" s="169" t="str">
        <f>'Учебный план (очная)'!E29</f>
        <v>5</v>
      </c>
      <c r="F10" s="169">
        <f>'Учебный план (очная)'!F29</f>
        <v>0</v>
      </c>
      <c r="G10" s="169">
        <f>'Учебный план (очная)'!H29</f>
        <v>0</v>
      </c>
      <c r="H10" s="169">
        <f>'Учебный план (очная)'!I29</f>
        <v>0</v>
      </c>
      <c r="I10" s="216">
        <f>'Учебный план (очная)'!N29</f>
        <v>63</v>
      </c>
      <c r="K10" s="227">
        <f>'Учебный план (заочная)'!D20</f>
        <v>0</v>
      </c>
      <c r="L10" s="223" t="str">
        <f>'Учебный план (заочная)'!E20</f>
        <v>1</v>
      </c>
      <c r="M10" s="223">
        <f>'Учебный план (заочная)'!F20</f>
        <v>0</v>
      </c>
      <c r="N10" s="223">
        <f>'Учебный план (заочная)'!H20</f>
        <v>0</v>
      </c>
      <c r="O10" s="223">
        <f>'Учебный план (заочная)'!I20</f>
        <v>0</v>
      </c>
      <c r="P10" s="211">
        <f>'Учебный план (заочная)'!N11</f>
        <v>63</v>
      </c>
      <c r="Q10" s="228" t="str">
        <f>'Учебный план (заочная)'!B11</f>
        <v>Основы философии</v>
      </c>
    </row>
    <row r="11" spans="1:17" ht="12.75">
      <c r="A11" s="215" t="str">
        <f>'Учебный план (очная)'!A30</f>
        <v>ОГСЭ.02.</v>
      </c>
      <c r="B11" s="169" t="str">
        <f>'Учебный план (очная)'!B30</f>
        <v>История</v>
      </c>
      <c r="C11" s="169">
        <f>'Учебный план (очная)'!C30</f>
        <v>0</v>
      </c>
      <c r="D11" s="169" t="str">
        <f>'Учебный план (очная)'!D30</f>
        <v>3</v>
      </c>
      <c r="E11" s="169">
        <f>'Учебный план (очная)'!E30</f>
        <v>0</v>
      </c>
      <c r="F11" s="169">
        <f>'Учебный план (очная)'!F30</f>
        <v>0</v>
      </c>
      <c r="G11" s="169">
        <f>'Учебный план (очная)'!H30</f>
        <v>0</v>
      </c>
      <c r="H11" s="169">
        <f>'Учебный план (очная)'!I30</f>
        <v>0</v>
      </c>
      <c r="I11" s="216">
        <f>'Учебный план (очная)'!N30</f>
        <v>62</v>
      </c>
      <c r="K11" s="227">
        <f>'Учебный план (заочная)'!D21</f>
        <v>0</v>
      </c>
      <c r="L11" s="223" t="str">
        <f>'Учебный план (заочная)'!E21</f>
        <v>2</v>
      </c>
      <c r="M11" s="223">
        <f>'Учебный план (заочная)'!F21</f>
        <v>0</v>
      </c>
      <c r="N11" s="223">
        <f>'Учебный план (заочная)'!H21</f>
        <v>0</v>
      </c>
      <c r="O11" s="223" t="str">
        <f>'Учебный план (заочная)'!I21</f>
        <v>1</v>
      </c>
      <c r="P11" s="211">
        <f>'Учебный план (заочная)'!N12</f>
        <v>62</v>
      </c>
      <c r="Q11" s="228" t="str">
        <f>'Учебный план (заочная)'!B12</f>
        <v>История</v>
      </c>
    </row>
    <row r="12" spans="1:17" ht="12.75">
      <c r="A12" s="215" t="str">
        <f>'Учебный план (очная)'!A31</f>
        <v>ОГСЭ.03.</v>
      </c>
      <c r="B12" s="169" t="str">
        <f>'Учебный план (очная)'!B31</f>
        <v>Иностранный язык</v>
      </c>
      <c r="C12" s="169">
        <f>'Учебный план (очная)'!C31</f>
        <v>0</v>
      </c>
      <c r="D12" s="169">
        <f>'Учебный план (очная)'!D31</f>
        <v>0</v>
      </c>
      <c r="E12" s="169" t="str">
        <f>'Учебный план (очная)'!E31</f>
        <v>6,8</v>
      </c>
      <c r="F12" s="169">
        <f>'Учебный план (очная)'!F31</f>
        <v>0</v>
      </c>
      <c r="G12" s="169">
        <f>'Учебный план (очная)'!H31</f>
        <v>0</v>
      </c>
      <c r="H12" s="169" t="str">
        <f>'Учебный план (очная)'!I31</f>
        <v>3,4,5,7</v>
      </c>
      <c r="I12" s="216">
        <f>'Учебный план (очная)'!N31</f>
        <v>256</v>
      </c>
      <c r="K12" s="227">
        <f>'Учебный план (заочная)'!D22</f>
        <v>0</v>
      </c>
      <c r="L12" s="223" t="str">
        <f>'Учебный план (заочная)'!E22</f>
        <v>1</v>
      </c>
      <c r="M12" s="223">
        <f>'Учебный план (заочная)'!F22</f>
        <v>0</v>
      </c>
      <c r="N12" s="223">
        <f>'Учебный план (заочная)'!H22</f>
        <v>0</v>
      </c>
      <c r="O12" s="223">
        <f>'Учебный план (заочная)'!I22</f>
        <v>0</v>
      </c>
      <c r="P12" s="211">
        <f>'Учебный план (заочная)'!N13</f>
        <v>256</v>
      </c>
      <c r="Q12" s="228" t="str">
        <f>'Учебный план (заочная)'!B13</f>
        <v>Иностранный язык</v>
      </c>
    </row>
    <row r="13" spans="1:17" ht="12.75">
      <c r="A13" s="215" t="str">
        <f>'Учебный план (очная)'!A32</f>
        <v>ОГСЭ.04.</v>
      </c>
      <c r="B13" s="169" t="str">
        <f>'Учебный план (очная)'!B32</f>
        <v>Физическая культура</v>
      </c>
      <c r="C13" s="169">
        <f>'Учебный план (очная)'!C32</f>
        <v>0</v>
      </c>
      <c r="D13" s="169">
        <f>'Учебный план (очная)'!D32</f>
        <v>0</v>
      </c>
      <c r="E13" s="234">
        <f>'Учебный план (очная)'!E32</f>
        <v>0</v>
      </c>
      <c r="F13" s="169" t="str">
        <f>'Учебный план (очная)'!F32</f>
        <v>3,4,5,6,7,8</v>
      </c>
      <c r="G13" s="169">
        <f>'Учебный план (очная)'!H32</f>
        <v>0</v>
      </c>
      <c r="H13" s="169">
        <f>'Учебный план (очная)'!I32</f>
        <v>0</v>
      </c>
      <c r="I13" s="216">
        <f>'Учебный план (очная)'!N32</f>
        <v>336</v>
      </c>
      <c r="K13" s="227">
        <f>'Учебный план (заочная)'!D23</f>
        <v>0</v>
      </c>
      <c r="L13" s="223" t="str">
        <f>'Учебный план (заочная)'!E23</f>
        <v>2</v>
      </c>
      <c r="M13" s="223">
        <f>'Учебный план (заочная)'!F23</f>
        <v>0</v>
      </c>
      <c r="N13" s="223">
        <f>'Учебный план (заочная)'!H23</f>
        <v>0</v>
      </c>
      <c r="O13" s="223" t="str">
        <f>'Учебный план (заочная)'!I23</f>
        <v>1</v>
      </c>
      <c r="P13" s="211">
        <f>'Учебный план (заочная)'!N14</f>
        <v>336</v>
      </c>
      <c r="Q13" s="228" t="str">
        <f>'Учебный план (заочная)'!B14</f>
        <v>Физическая культура</v>
      </c>
    </row>
    <row r="14" spans="1:17" ht="12.75">
      <c r="A14" s="215" t="str">
        <f>'Учебный план (очная)'!A33</f>
        <v>ЕН.00</v>
      </c>
      <c r="B14" s="169" t="str">
        <f>'Учебный план (очная)'!B33</f>
        <v>Математический и общий естественнонаучный цикл</v>
      </c>
      <c r="C14" s="169">
        <f>'Учебный план (очная)'!C33</f>
        <v>0</v>
      </c>
      <c r="D14" s="169">
        <f>'Учебный план (очная)'!D33</f>
        <v>0</v>
      </c>
      <c r="E14" s="169">
        <f>'Учебный план (очная)'!E33</f>
        <v>0</v>
      </c>
      <c r="F14" s="169">
        <f>'Учебный план (очная)'!F33</f>
        <v>0</v>
      </c>
      <c r="G14" s="169">
        <f>'Учебный план (очная)'!H33</f>
        <v>0</v>
      </c>
      <c r="H14" s="169">
        <f>'Учебный план (очная)'!I33</f>
        <v>0</v>
      </c>
      <c r="I14" s="216">
        <f>'Учебный план (очная)'!N33</f>
        <v>240</v>
      </c>
      <c r="K14" s="227">
        <f>'Учебный план (заочная)'!D24</f>
        <v>0</v>
      </c>
      <c r="L14" s="223" t="str">
        <f>'Учебный план (заочная)'!E24</f>
        <v>2</v>
      </c>
      <c r="M14" s="223">
        <f>'Учебный план (заочная)'!F24</f>
        <v>0</v>
      </c>
      <c r="N14" s="223">
        <f>'Учебный план (заочная)'!H24</f>
        <v>0</v>
      </c>
      <c r="O14" s="223">
        <f>'Учебный план (заочная)'!I24</f>
        <v>0</v>
      </c>
      <c r="P14" s="211">
        <f>'Учебный план (заочная)'!N15</f>
        <v>240</v>
      </c>
      <c r="Q14" s="228" t="str">
        <f>'Учебный план (заочная)'!B15</f>
        <v>Математический и общий естественнонаучный цикл</v>
      </c>
    </row>
    <row r="15" spans="1:17" ht="12.75">
      <c r="A15" s="215" t="str">
        <f>'Учебный план (очная)'!A34</f>
        <v>ЕН.01.</v>
      </c>
      <c r="B15" s="169" t="str">
        <f>'Учебный план (очная)'!B34</f>
        <v>Математика</v>
      </c>
      <c r="C15" s="169">
        <f>'Учебный план (очная)'!C34</f>
        <v>0</v>
      </c>
      <c r="D15" s="169" t="str">
        <f>'Учебный план (очная)'!D34</f>
        <v>3</v>
      </c>
      <c r="E15" s="169">
        <f>'Учебный план (очная)'!E34</f>
        <v>0</v>
      </c>
      <c r="F15" s="169">
        <f>'Учебный план (очная)'!F34</f>
        <v>0</v>
      </c>
      <c r="G15" s="169">
        <f>'Учебный план (очная)'!H34</f>
        <v>0</v>
      </c>
      <c r="H15" s="169">
        <f>'Учебный план (очная)'!I34</f>
        <v>0</v>
      </c>
      <c r="I15" s="216">
        <f>'Учебный план (очная)'!N34</f>
        <v>144</v>
      </c>
      <c r="K15" s="227">
        <f>'Учебный план (заочная)'!D25</f>
        <v>0</v>
      </c>
      <c r="L15" s="223" t="str">
        <f>'Учебный план (заочная)'!E25</f>
        <v>2</v>
      </c>
      <c r="M15" s="223">
        <f>'Учебный план (заочная)'!F25</f>
        <v>0</v>
      </c>
      <c r="N15" s="223">
        <f>'Учебный план (заочная)'!H25</f>
        <v>0</v>
      </c>
      <c r="O15" s="223" t="str">
        <f>'Учебный план (заочная)'!I25</f>
        <v>1</v>
      </c>
      <c r="P15" s="211">
        <f>'Учебный план (заочная)'!N16</f>
        <v>144</v>
      </c>
      <c r="Q15" s="228" t="str">
        <f>'Учебный план (заочная)'!B16</f>
        <v>Математика</v>
      </c>
    </row>
    <row r="16" spans="1:17" ht="12.75">
      <c r="A16" s="215" t="str">
        <f>'Учебный план (очная)'!A35</f>
        <v>ЕН.02.</v>
      </c>
      <c r="B16" s="169" t="str">
        <f>'Учебный план (очная)'!B35</f>
        <v>Информатика</v>
      </c>
      <c r="C16" s="169">
        <f>'Учебный план (очная)'!C35</f>
        <v>0</v>
      </c>
      <c r="D16" s="169">
        <f>'Учебный план (очная)'!D35</f>
        <v>0</v>
      </c>
      <c r="E16" s="169" t="str">
        <f>'Учебный план (очная)'!E35</f>
        <v>3</v>
      </c>
      <c r="F16" s="169">
        <f>'Учебный план (очная)'!F35</f>
        <v>0</v>
      </c>
      <c r="G16" s="169">
        <f>'Учебный план (очная)'!H35</f>
        <v>0</v>
      </c>
      <c r="H16" s="169">
        <f>'Учебный план (очная)'!I35</f>
        <v>0</v>
      </c>
      <c r="I16" s="216">
        <f>'Учебный план (очная)'!N35</f>
        <v>96</v>
      </c>
      <c r="K16" s="227">
        <f>'Учебный план (заочная)'!D26</f>
        <v>0</v>
      </c>
      <c r="L16" s="223" t="str">
        <f>'Учебный план (заочная)'!E26</f>
        <v>2</v>
      </c>
      <c r="M16" s="223">
        <f>'Учебный план (заочная)'!F26</f>
        <v>0</v>
      </c>
      <c r="N16" s="223">
        <f>'Учебный план (заочная)'!H26</f>
        <v>0</v>
      </c>
      <c r="O16" s="223">
        <f>'Учебный план (заочная)'!I26</f>
        <v>0</v>
      </c>
      <c r="P16" s="211">
        <f>'Учебный план (заочная)'!N17</f>
        <v>96</v>
      </c>
      <c r="Q16" s="228" t="str">
        <f>'Учебный план (заочная)'!B17</f>
        <v>Информатика</v>
      </c>
    </row>
    <row r="17" spans="1:17" ht="12.75">
      <c r="A17" s="215" t="str">
        <f>'Учебный план (очная)'!A36</f>
        <v>П.00</v>
      </c>
      <c r="B17" s="169" t="str">
        <f>'Учебный план (очная)'!B36</f>
        <v>Профессиональный цикл</v>
      </c>
      <c r="C17" s="169">
        <f>'Учебный план (очная)'!C36</f>
        <v>0</v>
      </c>
      <c r="D17" s="169">
        <f>'Учебный план (очная)'!D36</f>
        <v>0</v>
      </c>
      <c r="E17" s="169">
        <f>'Учебный план (очная)'!E36</f>
        <v>0</v>
      </c>
      <c r="F17" s="169">
        <f>'Учебный план (очная)'!F36</f>
        <v>0</v>
      </c>
      <c r="G17" s="169">
        <f>'Учебный план (очная)'!H36</f>
        <v>0</v>
      </c>
      <c r="H17" s="169">
        <f>'Учебный план (очная)'!I36</f>
        <v>0</v>
      </c>
      <c r="I17" s="216">
        <f>'Учебный план (очная)'!N36</f>
        <v>2977</v>
      </c>
      <c r="K17" s="227">
        <f>'Учебный план (заочная)'!D27</f>
        <v>0</v>
      </c>
      <c r="L17" s="223" t="str">
        <f>'Учебный план (заочная)'!E27</f>
        <v>2</v>
      </c>
      <c r="M17" s="223">
        <f>'Учебный план (заочная)'!F27</f>
        <v>0</v>
      </c>
      <c r="N17" s="223">
        <f>'Учебный план (заочная)'!H27</f>
        <v>0</v>
      </c>
      <c r="O17" s="223" t="str">
        <f>'Учебный план (заочная)'!I27</f>
        <v>1</v>
      </c>
      <c r="P17" s="211">
        <f>'Учебный план (заочная)'!N18</f>
        <v>2977</v>
      </c>
      <c r="Q17" s="228" t="str">
        <f>'Учебный план (заочная)'!B18</f>
        <v>Профессиональный цикл</v>
      </c>
    </row>
    <row r="18" spans="1:17" ht="12.75">
      <c r="A18" s="215" t="str">
        <f>'Учебный план (очная)'!A37</f>
        <v>ОП.00</v>
      </c>
      <c r="B18" s="169" t="str">
        <f>'Учебный план (очная)'!B37</f>
        <v>Общепрофессиональные дисциплины</v>
      </c>
      <c r="C18" s="169">
        <f>'Учебный план (очная)'!C37</f>
        <v>0</v>
      </c>
      <c r="D18" s="169">
        <f>'Учебный план (очная)'!D37</f>
        <v>0</v>
      </c>
      <c r="E18" s="169">
        <f>'Учебный план (очная)'!E37</f>
        <v>0</v>
      </c>
      <c r="F18" s="169">
        <f>'Учебный план (очная)'!F37</f>
        <v>0</v>
      </c>
      <c r="G18" s="169">
        <f>'Учебный план (очная)'!H37</f>
        <v>0</v>
      </c>
      <c r="H18" s="169">
        <f>'Учебный план (очная)'!I37</f>
        <v>0</v>
      </c>
      <c r="I18" s="216">
        <f>'Учебный план (очная)'!N37</f>
        <v>1127</v>
      </c>
      <c r="K18" s="227">
        <f>'Учебный план (заочная)'!D28</f>
        <v>0</v>
      </c>
      <c r="L18" s="223">
        <f>'Учебный план (заочная)'!E28</f>
        <v>0</v>
      </c>
      <c r="M18" s="223">
        <f>'Учебный план (заочная)'!F28</f>
        <v>0</v>
      </c>
      <c r="N18" s="223">
        <f>'Учебный план (заочная)'!H28</f>
        <v>0</v>
      </c>
      <c r="O18" s="223">
        <f>'Учебный план (заочная)'!I28</f>
        <v>0</v>
      </c>
      <c r="P18" s="211">
        <f>'Учебный план (заочная)'!N19</f>
        <v>1127</v>
      </c>
      <c r="Q18" s="228" t="str">
        <f>'Учебный план (заочная)'!B19</f>
        <v>Общепрофессиональные дисциплины</v>
      </c>
    </row>
    <row r="19" spans="1:17" ht="12.75">
      <c r="A19" s="215" t="str">
        <f>'Учебный план (очная)'!A38</f>
        <v>ОП.01.</v>
      </c>
      <c r="B19" s="169" t="str">
        <f>'Учебный план (очная)'!B38</f>
        <v>Инженерная графика</v>
      </c>
      <c r="C19" s="169">
        <f>'Учебный план (очная)'!C38</f>
        <v>0</v>
      </c>
      <c r="D19" s="169">
        <f>'Учебный план (очная)'!D38</f>
        <v>0</v>
      </c>
      <c r="E19" s="169" t="str">
        <f>'Учебный план (очная)'!E38</f>
        <v>3</v>
      </c>
      <c r="F19" s="169">
        <f>'Учебный план (очная)'!F38</f>
        <v>0</v>
      </c>
      <c r="G19" s="169">
        <f>'Учебный план (очная)'!H38</f>
        <v>0</v>
      </c>
      <c r="H19" s="169">
        <f>'Учебный план (очная)'!I38</f>
        <v>0</v>
      </c>
      <c r="I19" s="216">
        <f>'Учебный план (очная)'!N38</f>
        <v>96</v>
      </c>
      <c r="K19" s="227">
        <f>'Учебный план (заочная)'!D29</f>
        <v>0</v>
      </c>
      <c r="L19" s="223">
        <f>'Учебный план (заочная)'!E29</f>
        <v>0</v>
      </c>
      <c r="M19" s="223">
        <f>'Учебный план (заочная)'!F29</f>
        <v>0</v>
      </c>
      <c r="N19" s="223">
        <f>'Учебный план (заочная)'!H29</f>
        <v>0</v>
      </c>
      <c r="O19" s="223">
        <f>'Учебный план (заочная)'!I29</f>
        <v>0</v>
      </c>
      <c r="P19" s="211">
        <f>'Учебный план (заочная)'!N20</f>
        <v>96</v>
      </c>
      <c r="Q19" s="228" t="str">
        <f>'Учебный план (заочная)'!B20</f>
        <v>Инженерная графика</v>
      </c>
    </row>
    <row r="20" spans="1:17" ht="12.75">
      <c r="A20" s="215" t="str">
        <f>'Учебный план (очная)'!A39</f>
        <v>ОП.02.</v>
      </c>
      <c r="B20" s="169" t="str">
        <f>'Учебный план (очная)'!B39</f>
        <v>Электротехника и электроника</v>
      </c>
      <c r="C20" s="169">
        <f>'Учебный план (очная)'!C39</f>
        <v>0</v>
      </c>
      <c r="D20" s="169">
        <f>'Учебный план (очная)'!D39</f>
        <v>0</v>
      </c>
      <c r="E20" s="169" t="str">
        <f>'Учебный план (очная)'!E39</f>
        <v>4</v>
      </c>
      <c r="F20" s="169">
        <f>'Учебный план (очная)'!F39</f>
        <v>0</v>
      </c>
      <c r="G20" s="169">
        <f>'Учебный план (очная)'!H39</f>
        <v>0</v>
      </c>
      <c r="H20" s="169" t="str">
        <f>'Учебный план (очная)'!I39</f>
        <v>3</v>
      </c>
      <c r="I20" s="216">
        <f>'Учебный план (очная)'!N39</f>
        <v>182</v>
      </c>
      <c r="K20" s="227" t="str">
        <f>'Учебный план (заочная)'!D30</f>
        <v>3</v>
      </c>
      <c r="L20" s="223" t="str">
        <f>'Учебный план (заочная)'!E30</f>
        <v>4</v>
      </c>
      <c r="M20" s="223">
        <f>'Учебный план (заочная)'!F30</f>
        <v>0</v>
      </c>
      <c r="N20" s="223" t="str">
        <f>'Учебный план (заочная)'!H30</f>
        <v>4</v>
      </c>
      <c r="O20" s="223">
        <f>'Учебный план (заочная)'!I30</f>
        <v>0</v>
      </c>
      <c r="P20" s="211">
        <f>'Учебный план (заочная)'!N21</f>
        <v>182</v>
      </c>
      <c r="Q20" s="228" t="str">
        <f>'Учебный план (заочная)'!B21</f>
        <v>Электротехника и электроника</v>
      </c>
    </row>
    <row r="21" spans="1:17" ht="12.75">
      <c r="A21" s="215" t="str">
        <f>'Учебный план (очная)'!A40</f>
        <v>ОП.03.</v>
      </c>
      <c r="B21" s="169" t="str">
        <f>'Учебный план (очная)'!B40</f>
        <v>Метрология, стандартизация и сертификация</v>
      </c>
      <c r="C21" s="169">
        <f>'Учебный план (очная)'!C40</f>
        <v>0</v>
      </c>
      <c r="D21" s="169">
        <f>'Учебный план (очная)'!D40</f>
        <v>0</v>
      </c>
      <c r="E21" s="169" t="str">
        <f>'Учебный план (очная)'!E40</f>
        <v>4</v>
      </c>
      <c r="F21" s="169">
        <f>'Учебный план (очная)'!F40</f>
        <v>0</v>
      </c>
      <c r="G21" s="169">
        <f>'Учебный план (очная)'!H40</f>
        <v>0</v>
      </c>
      <c r="H21" s="169">
        <f>'Учебный план (очная)'!I40</f>
        <v>0</v>
      </c>
      <c r="I21" s="216">
        <f>'Учебный план (очная)'!N40</f>
        <v>86</v>
      </c>
      <c r="K21" s="227">
        <f>'Учебный план (заочная)'!D31</f>
        <v>0</v>
      </c>
      <c r="L21" s="223" t="str">
        <f>'Учебный план (заочная)'!E31</f>
        <v>3</v>
      </c>
      <c r="M21" s="223">
        <f>'Учебный план (заочная)'!F31</f>
        <v>0</v>
      </c>
      <c r="N21" s="223">
        <f>'Учебный план (заочная)'!H31</f>
        <v>0</v>
      </c>
      <c r="O21" s="223">
        <f>'Учебный план (заочная)'!I31</f>
        <v>0</v>
      </c>
      <c r="P21" s="211">
        <f>'Учебный план (заочная)'!N22</f>
        <v>86</v>
      </c>
      <c r="Q21" s="228" t="str">
        <f>'Учебный план (заочная)'!B22</f>
        <v>Метрология, стандартизация и сертификация</v>
      </c>
    </row>
    <row r="22" spans="1:17" ht="12.75">
      <c r="A22" s="215" t="str">
        <f>'Учебный план (очная)'!A41</f>
        <v>ОП.04.</v>
      </c>
      <c r="B22" s="169" t="str">
        <f>'Учебный план (очная)'!B41</f>
        <v>Транспортная система России</v>
      </c>
      <c r="C22" s="169">
        <f>'Учебный план (очная)'!C41</f>
        <v>0</v>
      </c>
      <c r="D22" s="169">
        <f>'Учебный план (очная)'!D41</f>
        <v>0</v>
      </c>
      <c r="E22" s="169" t="str">
        <f>'Учебный план (очная)'!E41</f>
        <v>4</v>
      </c>
      <c r="F22" s="169">
        <f>'Учебный план (очная)'!F41</f>
        <v>0</v>
      </c>
      <c r="G22" s="169">
        <f>'Учебный план (очная)'!H41</f>
        <v>0</v>
      </c>
      <c r="H22" s="169" t="str">
        <f>'Учебный план (очная)'!I41</f>
        <v>3</v>
      </c>
      <c r="I22" s="216">
        <f>'Учебный план (очная)'!N41</f>
        <v>158</v>
      </c>
      <c r="K22" s="227">
        <f>'Учебный план (заочная)'!D32</f>
        <v>0</v>
      </c>
      <c r="L22" s="223" t="str">
        <f>'Учебный план (заочная)'!E32</f>
        <v>3</v>
      </c>
      <c r="M22" s="223">
        <f>'Учебный план (заочная)'!F32</f>
        <v>0</v>
      </c>
      <c r="N22" s="223">
        <f>'Учебный план (заочная)'!H32</f>
        <v>0</v>
      </c>
      <c r="O22" s="223">
        <f>'Учебный план (заочная)'!I32</f>
        <v>0</v>
      </c>
      <c r="P22" s="211">
        <f>'Учебный план (заочная)'!N23</f>
        <v>158</v>
      </c>
      <c r="Q22" s="228" t="str">
        <f>'Учебный план (заочная)'!B23</f>
        <v>Транспортная система России</v>
      </c>
    </row>
    <row r="23" spans="1:17" ht="12.75">
      <c r="A23" s="215" t="str">
        <f>'Учебный план (очная)'!A42</f>
        <v>ОП.05.</v>
      </c>
      <c r="B23" s="169" t="str">
        <f>'Учебный план (очная)'!B42</f>
        <v>Технические средства (по видам транспорта)</v>
      </c>
      <c r="C23" s="169">
        <f>'Учебный план (очная)'!C42</f>
        <v>0</v>
      </c>
      <c r="D23" s="169">
        <f>'Учебный план (очная)'!D42</f>
        <v>0</v>
      </c>
      <c r="E23" s="169" t="str">
        <f>'Учебный план (очная)'!E42</f>
        <v>5</v>
      </c>
      <c r="F23" s="169">
        <f>'Учебный план (очная)'!F42</f>
        <v>0</v>
      </c>
      <c r="G23" s="169">
        <f>'Учебный план (очная)'!H42</f>
        <v>0</v>
      </c>
      <c r="H23" s="169" t="str">
        <f>'Учебный план (очная)'!I42</f>
        <v>4</v>
      </c>
      <c r="I23" s="216">
        <f>'Учебный план (очная)'!N42</f>
        <v>297</v>
      </c>
      <c r="K23" s="227" t="e">
        <f>'Учебный план (заочная)'!#REF!</f>
        <v>#REF!</v>
      </c>
      <c r="L23" s="223" t="e">
        <f>'Учебный план (заочная)'!#REF!</f>
        <v>#REF!</v>
      </c>
      <c r="M23" s="223" t="e">
        <f>'Учебный план (заочная)'!#REF!</f>
        <v>#REF!</v>
      </c>
      <c r="N23" s="223" t="e">
        <f>'Учебный план (заочная)'!#REF!</f>
        <v>#REF!</v>
      </c>
      <c r="O23" s="223" t="e">
        <f>'Учебный план (заочная)'!#REF!</f>
        <v>#REF!</v>
      </c>
      <c r="P23" s="211">
        <f>'Учебный план (заочная)'!N24</f>
        <v>297</v>
      </c>
      <c r="Q23" s="228" t="str">
        <f>'Учебный план (заочная)'!B24</f>
        <v>Технические средства (по видам транспорта)</v>
      </c>
    </row>
    <row r="24" spans="1:17" ht="12.75">
      <c r="A24" s="215" t="str">
        <f>'Учебный план (очная)'!A43</f>
        <v>ОП.06.</v>
      </c>
      <c r="B24" s="169" t="str">
        <f>'Учебный план (очная)'!B43</f>
        <v>Правовое обеспечение профессиональной деятельности</v>
      </c>
      <c r="C24" s="169">
        <f>'Учебный план (очная)'!C43</f>
        <v>0</v>
      </c>
      <c r="D24" s="169">
        <f>'Учебный план (очная)'!D43</f>
        <v>0</v>
      </c>
      <c r="E24" s="169" t="str">
        <f>'Учебный план (очная)'!E43</f>
        <v>6</v>
      </c>
      <c r="F24" s="169">
        <f>'Учебный план (очная)'!F43</f>
        <v>0</v>
      </c>
      <c r="G24" s="169">
        <f>'Учебный план (очная)'!H43</f>
        <v>0</v>
      </c>
      <c r="H24" s="169" t="str">
        <f>'Учебный план (очная)'!I43</f>
        <v>5</v>
      </c>
      <c r="I24" s="216">
        <f>'Учебный план (очная)'!N43</f>
        <v>119</v>
      </c>
      <c r="K24" s="227" t="e">
        <f>'Учебный план (заочная)'!#REF!</f>
        <v>#REF!</v>
      </c>
      <c r="L24" s="223" t="e">
        <f>'Учебный план (заочная)'!#REF!</f>
        <v>#REF!</v>
      </c>
      <c r="M24" s="223" t="e">
        <f>'Учебный план (заочная)'!#REF!</f>
        <v>#REF!</v>
      </c>
      <c r="N24" s="223" t="e">
        <f>'Учебный план (заочная)'!#REF!</f>
        <v>#REF!</v>
      </c>
      <c r="O24" s="223" t="e">
        <f>'Учебный план (заочная)'!#REF!</f>
        <v>#REF!</v>
      </c>
      <c r="P24" s="211">
        <f>'Учебный план (заочная)'!N25</f>
        <v>119</v>
      </c>
      <c r="Q24" s="228" t="str">
        <f>'Учебный план (заочная)'!B25</f>
        <v>Правовое обеспечение профессиональной деятельности</v>
      </c>
    </row>
    <row r="25" spans="1:17" ht="12.75">
      <c r="A25" s="215" t="str">
        <f>'Учебный план (очная)'!A44</f>
        <v>ОП.07.</v>
      </c>
      <c r="B25" s="169" t="str">
        <f>'Учебный план (очная)'!B44</f>
        <v>Охрана труда</v>
      </c>
      <c r="C25" s="169">
        <f>'Учебный план (очная)'!C44</f>
        <v>0</v>
      </c>
      <c r="D25" s="169">
        <f>'Учебный план (очная)'!D44</f>
        <v>0</v>
      </c>
      <c r="E25" s="169" t="str">
        <f>'Учебный план (очная)'!E44</f>
        <v>4</v>
      </c>
      <c r="F25" s="169">
        <f>'Учебный план (очная)'!F44</f>
        <v>0</v>
      </c>
      <c r="G25" s="169">
        <f>'Учебный план (очная)'!H44</f>
        <v>0</v>
      </c>
      <c r="H25" s="169">
        <f>'Учебный план (очная)'!I44</f>
        <v>0</v>
      </c>
      <c r="I25" s="216">
        <f>'Учебный план (очная)'!N44</f>
        <v>86</v>
      </c>
      <c r="K25" s="227" t="e">
        <f>'Учебный план (заочная)'!#REF!</f>
        <v>#REF!</v>
      </c>
      <c r="L25" s="223" t="e">
        <f>'Учебный план (заочная)'!#REF!</f>
        <v>#REF!</v>
      </c>
      <c r="M25" s="223" t="e">
        <f>'Учебный план (заочная)'!#REF!</f>
        <v>#REF!</v>
      </c>
      <c r="N25" s="223" t="e">
        <f>'Учебный план (заочная)'!#REF!</f>
        <v>#REF!</v>
      </c>
      <c r="O25" s="223" t="e">
        <f>'Учебный план (заочная)'!#REF!</f>
        <v>#REF!</v>
      </c>
      <c r="P25" s="211">
        <f>'Учебный план (заочная)'!N26</f>
        <v>86</v>
      </c>
      <c r="Q25" s="228" t="str">
        <f>'Учебный план (заочная)'!B26</f>
        <v>Охрана труда</v>
      </c>
    </row>
    <row r="26" spans="1:17" ht="12.75">
      <c r="A26" s="215" t="str">
        <f>'Учебный план (очная)'!A45</f>
        <v>ОП.08.</v>
      </c>
      <c r="B26" s="169" t="str">
        <f>'Учебный план (очная)'!B45</f>
        <v>Безопасность жизнедеятельности</v>
      </c>
      <c r="C26" s="169">
        <f>'Учебный план (очная)'!C45</f>
        <v>0</v>
      </c>
      <c r="D26" s="169">
        <f>'Учебный план (очная)'!D45</f>
        <v>0</v>
      </c>
      <c r="E26" s="169" t="str">
        <f>'Учебный план (очная)'!E45</f>
        <v>5</v>
      </c>
      <c r="F26" s="169">
        <f>'Учебный план (очная)'!F45</f>
        <v>0</v>
      </c>
      <c r="G26" s="169">
        <f>'Учебный план (очная)'!H45</f>
        <v>0</v>
      </c>
      <c r="H26" s="169">
        <f>'Учебный план (очная)'!I45</f>
        <v>0</v>
      </c>
      <c r="I26" s="216">
        <f>'Учебный план (очная)'!N45</f>
        <v>103</v>
      </c>
      <c r="K26" s="227" t="str">
        <f>'Учебный план (заочная)'!D33</f>
        <v>4</v>
      </c>
      <c r="L26" s="223">
        <f>'Учебный план (заочная)'!E33</f>
        <v>0</v>
      </c>
      <c r="M26" s="223">
        <f>'Учебный план (заочная)'!F33</f>
        <v>0</v>
      </c>
      <c r="N26" s="223">
        <f>'Учебный план (заочная)'!H33</f>
        <v>0</v>
      </c>
      <c r="O26" s="223">
        <f>'Учебный план (заочная)'!I33</f>
        <v>0</v>
      </c>
      <c r="P26" s="211">
        <f>'Учебный план (заочная)'!N27</f>
        <v>103</v>
      </c>
      <c r="Q26" s="228" t="str">
        <f>'Учебный план (заочная)'!B27</f>
        <v>Безопасность жизнедеятельности</v>
      </c>
    </row>
    <row r="27" spans="1:17" ht="12.75">
      <c r="A27" s="217" t="str">
        <f>'Учебный план (очная)'!A46</f>
        <v>ПМ.00</v>
      </c>
      <c r="B27" s="209" t="str">
        <f>'Учебный план (очная)'!B46</f>
        <v>Профессиональные модули</v>
      </c>
      <c r="C27" s="209">
        <f>'Учебный план (очная)'!C46</f>
        <v>0</v>
      </c>
      <c r="D27" s="209">
        <f>'Учебный план (очная)'!D46</f>
        <v>0</v>
      </c>
      <c r="E27" s="209">
        <f>'Учебный план (очная)'!E46</f>
        <v>0</v>
      </c>
      <c r="F27" s="209">
        <f>'Учебный план (очная)'!F46</f>
        <v>0</v>
      </c>
      <c r="G27" s="209">
        <f>'Учебный план (очная)'!H46</f>
        <v>0</v>
      </c>
      <c r="H27" s="209">
        <f>'Учебный план (очная)'!I46</f>
        <v>0</v>
      </c>
      <c r="I27" s="218">
        <f>'Учебный план (очная)'!N46</f>
        <v>1850</v>
      </c>
      <c r="J27" s="208"/>
      <c r="K27" s="226">
        <f>'Учебный план (заочная)'!D34</f>
        <v>0</v>
      </c>
      <c r="L27" s="222">
        <f>'Учебный план (заочная)'!E34</f>
        <v>0</v>
      </c>
      <c r="M27" s="222">
        <f>'Учебный план (заочная)'!F34</f>
        <v>0</v>
      </c>
      <c r="N27" s="222">
        <f>'Учебный план (заочная)'!H34</f>
        <v>0</v>
      </c>
      <c r="O27" s="222">
        <f>'Учебный план (заочная)'!I34</f>
        <v>0</v>
      </c>
      <c r="P27" s="210">
        <f>'Учебный план (заочная)'!N28</f>
        <v>1850</v>
      </c>
      <c r="Q27" s="229" t="str">
        <f>'Учебный план (заочная)'!B28</f>
        <v>Профессиональные модули</v>
      </c>
    </row>
    <row r="28" spans="1:17" ht="12.75">
      <c r="A28" s="217" t="str">
        <f>'Учебный план (очная)'!A47</f>
        <v>ПМ.01</v>
      </c>
      <c r="B28" s="209" t="str">
        <f>'Учебный план (очная)'!B47</f>
        <v>Организация перевозочного процесса (по видам транспорта)</v>
      </c>
      <c r="C28" s="209">
        <f>'Учебный план (очная)'!C47</f>
        <v>0</v>
      </c>
      <c r="D28" s="209">
        <f>'Учебный план (очная)'!D47</f>
        <v>0</v>
      </c>
      <c r="E28" s="209">
        <f>'Учебный план (очная)'!E47</f>
        <v>0</v>
      </c>
      <c r="F28" s="209">
        <f>'Учебный план (очная)'!F47</f>
        <v>0</v>
      </c>
      <c r="G28" s="209">
        <f>'Учебный план (очная)'!H47</f>
        <v>0</v>
      </c>
      <c r="H28" s="209">
        <f>'Учебный план (очная)'!I47</f>
        <v>0</v>
      </c>
      <c r="I28" s="218">
        <f>'Учебный план (очная)'!N47</f>
        <v>708</v>
      </c>
      <c r="J28" s="208"/>
      <c r="K28" s="226">
        <f>'Учебный план (заочная)'!D35</f>
        <v>0</v>
      </c>
      <c r="L28" s="222" t="str">
        <f>'Учебный план (заочная)'!E35</f>
        <v>2</v>
      </c>
      <c r="M28" s="222">
        <f>'Учебный план (заочная)'!F35</f>
        <v>0</v>
      </c>
      <c r="N28" s="222">
        <f>'Учебный план (заочная)'!H35</f>
        <v>0</v>
      </c>
      <c r="O28" s="222">
        <f>'Учебный план (заочная)'!I35</f>
        <v>0</v>
      </c>
      <c r="P28" s="210">
        <f>'Учебный план (заочная)'!N29</f>
        <v>708</v>
      </c>
      <c r="Q28" s="229" t="str">
        <f>'Учебный план (заочная)'!B29</f>
        <v>Организация перевозочного процесса (по видам транспорта)</v>
      </c>
    </row>
    <row r="29" spans="1:17" ht="12.75">
      <c r="A29" s="215" t="str">
        <f>'Учебный план (очная)'!A48</f>
        <v>МДК.01.01.</v>
      </c>
      <c r="B29" s="169" t="str">
        <f>'Учебный план (очная)'!B48</f>
        <v>Технология перевозочного процесса (по видам транспорта)</v>
      </c>
      <c r="C29" s="169">
        <f>'Учебный план (очная)'!C48</f>
        <v>0</v>
      </c>
      <c r="D29" s="169" t="str">
        <f>'Учебный план (очная)'!D48</f>
        <v>6</v>
      </c>
      <c r="E29" s="169" t="str">
        <f>'Учебный план (очная)'!E48</f>
        <v>8</v>
      </c>
      <c r="F29" s="169">
        <f>'Учебный план (очная)'!F48</f>
        <v>0</v>
      </c>
      <c r="G29" s="169" t="str">
        <f>'Учебный план (очная)'!H48</f>
        <v>8</v>
      </c>
      <c r="H29" s="169" t="str">
        <f>'Учебный план (очная)'!I48</f>
        <v>5,7</v>
      </c>
      <c r="I29" s="216">
        <f>'Учебный план (очная)'!N48</f>
        <v>365</v>
      </c>
      <c r="K29" s="227">
        <f>'Учебный план (заочная)'!D36</f>
        <v>0</v>
      </c>
      <c r="L29" s="223" t="str">
        <f>'Учебный план (заочная)'!E36</f>
        <v>4</v>
      </c>
      <c r="M29" s="223">
        <f>'Учебный план (заочная)'!F36</f>
        <v>0</v>
      </c>
      <c r="N29" s="223">
        <f>'Учебный план (заочная)'!H36</f>
        <v>0</v>
      </c>
      <c r="O29" s="223" t="str">
        <f>'Учебный план (заочная)'!I36</f>
        <v>3</v>
      </c>
      <c r="P29" s="211">
        <f>'Учебный план (заочная)'!N30</f>
        <v>365</v>
      </c>
      <c r="Q29" s="228" t="str">
        <f>'Учебный план (заочная)'!B30</f>
        <v>Технология перевозочного процесса (по видам транспорта)</v>
      </c>
    </row>
    <row r="30" spans="1:17" ht="12.75">
      <c r="A30" s="215" t="str">
        <f>'Учебный план (очная)'!A49</f>
        <v>МДК.01.02.</v>
      </c>
      <c r="B30" s="169" t="str">
        <f>'Учебный план (очная)'!B49</f>
        <v>Информационное обеспечение перевозочного процесса (по видам транспорта)</v>
      </c>
      <c r="C30" s="169">
        <f>'Учебный план (очная)'!C49</f>
        <v>0</v>
      </c>
      <c r="D30" s="169">
        <f>'Учебный план (очная)'!D49</f>
        <v>0</v>
      </c>
      <c r="E30" s="169" t="str">
        <f>'Учебный план (очная)'!E49</f>
        <v>5,6</v>
      </c>
      <c r="F30" s="169">
        <f>'Учебный план (очная)'!F49</f>
        <v>0</v>
      </c>
      <c r="G30" s="169">
        <f>'Учебный план (очная)'!H49</f>
        <v>0</v>
      </c>
      <c r="H30" s="169">
        <f>'Учебный план (очная)'!I49</f>
        <v>0</v>
      </c>
      <c r="I30" s="216">
        <f>'Учебный план (очная)'!N49</f>
        <v>211</v>
      </c>
      <c r="K30" s="227" t="str">
        <f>'Учебный план (заочная)'!D38</f>
        <v>4</v>
      </c>
      <c r="L30" s="223">
        <f>'Учебный план (заочная)'!E38</f>
        <v>0</v>
      </c>
      <c r="M30" s="223">
        <f>'Учебный план (заочная)'!F38</f>
        <v>0</v>
      </c>
      <c r="N30" s="223">
        <f>'Учебный план (заочная)'!H38</f>
        <v>0</v>
      </c>
      <c r="O30" s="223">
        <f>'Учебный план (заочная)'!I38</f>
        <v>0</v>
      </c>
      <c r="P30" s="211">
        <f>'Учебный план (заочная)'!N31</f>
        <v>211</v>
      </c>
      <c r="Q30" s="228" t="str">
        <f>'Учебный план (заочная)'!B31</f>
        <v>Информационное обеспечение перевозочного процесса (по видам транспорта)</v>
      </c>
    </row>
    <row r="31" spans="1:17" ht="12.75">
      <c r="A31" s="215" t="str">
        <f>'Учебный план (очная)'!A50</f>
        <v>МДК.01.03.</v>
      </c>
      <c r="B31" s="169" t="str">
        <f>'Учебный план (очная)'!B50</f>
        <v>Автоматизированные системы управления на транспорте (по видам транспорта)</v>
      </c>
      <c r="C31" s="169">
        <f>'Учебный план (очная)'!C50</f>
        <v>0</v>
      </c>
      <c r="D31" s="169">
        <f>'Учебный план (очная)'!D50</f>
        <v>0</v>
      </c>
      <c r="E31" s="169" t="str">
        <f>'Учебный план (очная)'!E50</f>
        <v>7</v>
      </c>
      <c r="F31" s="169">
        <f>'Учебный план (очная)'!F50</f>
        <v>0</v>
      </c>
      <c r="G31" s="169">
        <f>'Учебный план (очная)'!H50</f>
        <v>0</v>
      </c>
      <c r="H31" s="169" t="str">
        <f>'Учебный план (очная)'!I50</f>
        <v>6</v>
      </c>
      <c r="I31" s="216">
        <f>'Учебный план (очная)'!N50</f>
        <v>132</v>
      </c>
      <c r="K31" s="227">
        <f>'Учебный план (заочная)'!D39</f>
        <v>0</v>
      </c>
      <c r="L31" s="223">
        <f>'Учебный план (заочная)'!E39</f>
        <v>0</v>
      </c>
      <c r="M31" s="223">
        <f>'Учебный план (заочная)'!F39</f>
        <v>0</v>
      </c>
      <c r="N31" s="223">
        <f>'Учебный план (заочная)'!H39</f>
        <v>0</v>
      </c>
      <c r="O31" s="223">
        <f>'Учебный план (заочная)'!I39</f>
        <v>0</v>
      </c>
      <c r="P31" s="211">
        <f>'Учебный план (заочная)'!N32</f>
        <v>132</v>
      </c>
      <c r="Q31" s="228" t="str">
        <f>'Учебный план (заочная)'!B32</f>
        <v>Автоматизированные системы управления на транспорте (по видам транспорта)</v>
      </c>
    </row>
    <row r="32" spans="1:17" ht="12.75">
      <c r="A32" s="215" t="e">
        <f>'Учебный план (очная)'!#REF!</f>
        <v>#REF!</v>
      </c>
      <c r="B32" s="169" t="e">
        <f>'Учебный план (очная)'!#REF!</f>
        <v>#REF!</v>
      </c>
      <c r="C32" s="169" t="e">
        <f>'Учебный план (очная)'!#REF!</f>
        <v>#REF!</v>
      </c>
      <c r="D32" s="169" t="e">
        <f>'Учебный план (очная)'!#REF!</f>
        <v>#REF!</v>
      </c>
      <c r="E32" s="169" t="e">
        <f>'Учебный план (очная)'!#REF!</f>
        <v>#REF!</v>
      </c>
      <c r="F32" s="169" t="e">
        <f>'Учебный план (очная)'!#REF!</f>
        <v>#REF!</v>
      </c>
      <c r="G32" s="169" t="e">
        <f>'Учебный план (очная)'!#REF!</f>
        <v>#REF!</v>
      </c>
      <c r="H32" s="169" t="e">
        <f>'Учебный план (очная)'!#REF!</f>
        <v>#REF!</v>
      </c>
      <c r="I32" s="216" t="e">
        <f>'Учебный план (очная)'!#REF!</f>
        <v>#REF!</v>
      </c>
      <c r="K32" s="227" t="str">
        <f>'Учебный план (заочная)'!D40</f>
        <v>3</v>
      </c>
      <c r="L32" s="223">
        <f>'Учебный план (заочная)'!E40</f>
        <v>0</v>
      </c>
      <c r="M32" s="223">
        <f>'Учебный план (заочная)'!F40</f>
        <v>0</v>
      </c>
      <c r="N32" s="223">
        <f>'Учебный план (заочная)'!H40</f>
        <v>0</v>
      </c>
      <c r="O32" s="223">
        <f>'Учебный план (заочная)'!I40</f>
        <v>0</v>
      </c>
      <c r="P32" s="211" t="e">
        <f>'Учебный план (заочная)'!#REF!</f>
        <v>#REF!</v>
      </c>
      <c r="Q32" s="228" t="e">
        <f>'Учебный план (заочная)'!#REF!</f>
        <v>#REF!</v>
      </c>
    </row>
    <row r="33" spans="1:17" ht="12.75">
      <c r="A33" s="215" t="e">
        <f>'Учебный план (очная)'!#REF!</f>
        <v>#REF!</v>
      </c>
      <c r="B33" s="169" t="e">
        <f>'Учебный план (очная)'!#REF!</f>
        <v>#REF!</v>
      </c>
      <c r="C33" s="169" t="e">
        <f>'Учебный план (очная)'!#REF!</f>
        <v>#REF!</v>
      </c>
      <c r="D33" s="169" t="e">
        <f>'Учебный план (очная)'!#REF!</f>
        <v>#REF!</v>
      </c>
      <c r="E33" s="169" t="e">
        <f>'Учебный план (очная)'!#REF!</f>
        <v>#REF!</v>
      </c>
      <c r="F33" s="169" t="e">
        <f>'Учебный план (очная)'!#REF!</f>
        <v>#REF!</v>
      </c>
      <c r="G33" s="169" t="e">
        <f>'Учебный план (очная)'!#REF!</f>
        <v>#REF!</v>
      </c>
      <c r="H33" s="169" t="e">
        <f>'Учебный план (очная)'!#REF!</f>
        <v>#REF!</v>
      </c>
      <c r="I33" s="216" t="e">
        <f>'Учебный план (очная)'!#REF!</f>
        <v>#REF!</v>
      </c>
      <c r="K33" s="227">
        <f>'Учебный план (заочная)'!D41</f>
        <v>0</v>
      </c>
      <c r="L33" s="223" t="str">
        <f>'Учебный план (заочная)'!E41</f>
        <v>3,4</v>
      </c>
      <c r="M33" s="223">
        <f>'Учебный план (заочная)'!F41</f>
        <v>0</v>
      </c>
      <c r="N33" s="223" t="str">
        <f>'Учебный план (заочная)'!H41</f>
        <v>4</v>
      </c>
      <c r="O33" s="223">
        <f>'Учебный план (заочная)'!I41</f>
        <v>0</v>
      </c>
      <c r="P33" s="211" t="e">
        <f>'Учебный план (заочная)'!#REF!</f>
        <v>#REF!</v>
      </c>
      <c r="Q33" s="228" t="e">
        <f>'Учебный план (заочная)'!#REF!</f>
        <v>#REF!</v>
      </c>
    </row>
    <row r="34" spans="1:17" ht="12.75">
      <c r="A34" s="215" t="e">
        <f>'Учебный план (очная)'!#REF!</f>
        <v>#REF!</v>
      </c>
      <c r="B34" s="169" t="e">
        <f>'Учебный план (очная)'!#REF!</f>
        <v>#REF!</v>
      </c>
      <c r="C34" s="169" t="e">
        <f>'Учебный план (очная)'!#REF!</f>
        <v>#REF!</v>
      </c>
      <c r="D34" s="169" t="e">
        <f>'Учебный план (очная)'!#REF!</f>
        <v>#REF!</v>
      </c>
      <c r="E34" s="169" t="e">
        <f>'Учебный план (очная)'!#REF!</f>
        <v>#REF!</v>
      </c>
      <c r="F34" s="169" t="e">
        <f>'Учебный план (очная)'!#REF!</f>
        <v>#REF!</v>
      </c>
      <c r="G34" s="169" t="e">
        <f>'Учебный план (очная)'!#REF!</f>
        <v>#REF!</v>
      </c>
      <c r="H34" s="169" t="e">
        <f>'Учебный план (очная)'!#REF!</f>
        <v>#REF!</v>
      </c>
      <c r="I34" s="216" t="e">
        <f>'Учебный план (очная)'!#REF!</f>
        <v>#REF!</v>
      </c>
      <c r="K34" s="227">
        <f>'Учебный план (заочная)'!D42</f>
        <v>0</v>
      </c>
      <c r="L34" s="223" t="str">
        <f>'Учебный план (заочная)'!E42</f>
        <v>3</v>
      </c>
      <c r="M34" s="223">
        <f>'Учебный план (заочная)'!F42</f>
        <v>0</v>
      </c>
      <c r="N34" s="223">
        <f>'Учебный план (заочная)'!H42</f>
        <v>0</v>
      </c>
      <c r="O34" s="223">
        <f>'Учебный план (заочная)'!I42</f>
        <v>0</v>
      </c>
      <c r="P34" s="211" t="e">
        <f>'Учебный план (заочная)'!#REF!</f>
        <v>#REF!</v>
      </c>
      <c r="Q34" s="228" t="e">
        <f>'Учебный план (заочная)'!#REF!</f>
        <v>#REF!</v>
      </c>
    </row>
    <row r="35" spans="1:17" ht="12.75">
      <c r="A35" s="215" t="str">
        <f>'Учебный план (очная)'!A51</f>
        <v>Экзамен квалификационный</v>
      </c>
      <c r="B35" s="169">
        <f>'Учебный план (очная)'!B51</f>
        <v>0</v>
      </c>
      <c r="C35" s="169">
        <f>'Учебный план (очная)'!C51</f>
        <v>0</v>
      </c>
      <c r="D35" s="169" t="str">
        <f>'Учебный план (очная)'!D51</f>
        <v>8</v>
      </c>
      <c r="E35" s="169">
        <f>'Учебный план (очная)'!E51</f>
        <v>0</v>
      </c>
      <c r="F35" s="169">
        <f>'Учебный план (очная)'!F51</f>
        <v>0</v>
      </c>
      <c r="G35" s="169">
        <f>'Учебный план (очная)'!H51</f>
        <v>0</v>
      </c>
      <c r="H35" s="169">
        <f>'Учебный план (очная)'!I51</f>
        <v>0</v>
      </c>
      <c r="I35" s="216">
        <f>'Учебный план (очная)'!N51</f>
        <v>0</v>
      </c>
      <c r="K35" s="227" t="str">
        <f>'Учебный план (заочная)'!D43</f>
        <v>4</v>
      </c>
      <c r="L35" s="223">
        <f>'Учебный план (заочная)'!E43</f>
        <v>0</v>
      </c>
      <c r="M35" s="223">
        <f>'Учебный план (заочная)'!F43</f>
        <v>0</v>
      </c>
      <c r="N35" s="223">
        <f>'Учебный план (заочная)'!H43</f>
        <v>0</v>
      </c>
      <c r="O35" s="223">
        <f>'Учебный план (заочная)'!I43</f>
        <v>0</v>
      </c>
      <c r="P35" s="211">
        <f>'Учебный план (заочная)'!N33</f>
        <v>0</v>
      </c>
      <c r="Q35" s="228">
        <f>'Учебный план (заочная)'!B33</f>
        <v>0</v>
      </c>
    </row>
    <row r="36" spans="1:17" ht="12.75">
      <c r="A36" s="217" t="str">
        <f>'Учебный план (очная)'!A52</f>
        <v>ПМ.02</v>
      </c>
      <c r="B36" s="209" t="str">
        <f>'Учебный план (очная)'!B52</f>
        <v>Организация сервисного обслуживания на транспорте (по видам транспорта)</v>
      </c>
      <c r="C36" s="209">
        <f>'Учебный план (очная)'!C52</f>
        <v>0</v>
      </c>
      <c r="D36" s="209">
        <f>'Учебный план (очная)'!D52</f>
        <v>0</v>
      </c>
      <c r="E36" s="209">
        <f>'Учебный план (очная)'!E52</f>
        <v>0</v>
      </c>
      <c r="F36" s="209">
        <f>'Учебный план (очная)'!F52</f>
        <v>0</v>
      </c>
      <c r="G36" s="209">
        <f>'Учебный план (очная)'!H52</f>
        <v>0</v>
      </c>
      <c r="H36" s="209">
        <f>'Учебный план (очная)'!I52</f>
        <v>0</v>
      </c>
      <c r="I36" s="218">
        <f>'Учебный план (очная)'!N52</f>
        <v>363</v>
      </c>
      <c r="J36" s="208"/>
      <c r="K36" s="226">
        <f>'Учебный план (заочная)'!D44</f>
        <v>0</v>
      </c>
      <c r="L36" s="222">
        <f>'Учебный план (заочная)'!E44</f>
        <v>0</v>
      </c>
      <c r="M36" s="222">
        <f>'Учебный план (заочная)'!F44</f>
        <v>0</v>
      </c>
      <c r="N36" s="222">
        <f>'Учебный план (заочная)'!H44</f>
        <v>0</v>
      </c>
      <c r="O36" s="222">
        <f>'Учебный план (заочная)'!I44</f>
        <v>0</v>
      </c>
      <c r="P36" s="210">
        <f>'Учебный план (заочная)'!N34</f>
        <v>363</v>
      </c>
      <c r="Q36" s="229" t="str">
        <f>'Учебный план (заочная)'!B34</f>
        <v>Организация сервисного обслуживания на транспорте (по видам транспорта)</v>
      </c>
    </row>
    <row r="37" spans="1:17" ht="12.75">
      <c r="A37" s="215" t="str">
        <f>'Учебный план (очная)'!A53</f>
        <v>МДК.02.01.</v>
      </c>
      <c r="B37" s="169" t="str">
        <f>'Учебный план (очная)'!B53</f>
        <v>Организация движения (по видам транспорта)</v>
      </c>
      <c r="C37" s="169">
        <f>'Учебный план (очная)'!C53</f>
        <v>0</v>
      </c>
      <c r="D37" s="169">
        <f>'Учебный план (очная)'!D53</f>
        <v>0</v>
      </c>
      <c r="E37" s="169" t="str">
        <f>'Учебный план (очная)'!E53</f>
        <v>4</v>
      </c>
      <c r="F37" s="169">
        <f>'Учебный план (очная)'!F53</f>
        <v>0</v>
      </c>
      <c r="G37" s="169">
        <f>'Учебный план (очная)'!H53</f>
        <v>0</v>
      </c>
      <c r="H37" s="169">
        <f>'Учебный план (очная)'!I53</f>
        <v>0</v>
      </c>
      <c r="I37" s="216">
        <f>'Учебный план (очная)'!N53</f>
        <v>171</v>
      </c>
      <c r="K37" s="227">
        <f>'Учебный план (заочная)'!D45</f>
        <v>0</v>
      </c>
      <c r="L37" s="223" t="str">
        <f>'Учебный план (заочная)'!E45</f>
        <v>4</v>
      </c>
      <c r="M37" s="223">
        <f>'Учебный план (заочная)'!F45</f>
        <v>0</v>
      </c>
      <c r="N37" s="223">
        <f>'Учебный план (заочная)'!H45</f>
        <v>0</v>
      </c>
      <c r="O37" s="223">
        <f>'Учебный план (заочная)'!I45</f>
        <v>0</v>
      </c>
      <c r="P37" s="211">
        <f>'Учебный план (заочная)'!N35</f>
        <v>171</v>
      </c>
      <c r="Q37" s="228" t="str">
        <f>'Учебный план (заочная)'!B35</f>
        <v>Организация движения (по видам транспорта)</v>
      </c>
    </row>
    <row r="38" spans="1:17" ht="12.75">
      <c r="A38" s="215" t="str">
        <f>'Учебный план (очная)'!A54</f>
        <v>МДК.02.02.</v>
      </c>
      <c r="B38" s="169" t="str">
        <f>'Учебный план (очная)'!B54</f>
        <v>Организация пассажирских перевозок и обслуживание пассажиров (по видам транспорта)</v>
      </c>
      <c r="C38" s="169">
        <f>'Учебный план (очная)'!C54</f>
        <v>0</v>
      </c>
      <c r="D38" s="169">
        <f>'Учебный план (очная)'!D54</f>
        <v>0</v>
      </c>
      <c r="E38" s="169" t="str">
        <f>'Учебный план (очная)'!E54</f>
        <v>8</v>
      </c>
      <c r="F38" s="169">
        <f>'Учебный план (очная)'!F54</f>
        <v>0</v>
      </c>
      <c r="G38" s="169">
        <f>'Учебный план (очная)'!H54</f>
        <v>0</v>
      </c>
      <c r="H38" s="169" t="str">
        <f>'Учебный план (очная)'!I54</f>
        <v>7</v>
      </c>
      <c r="I38" s="216">
        <f>'Учебный план (очная)'!N54</f>
        <v>120</v>
      </c>
      <c r="K38" s="227" t="e">
        <f>'Учебный план (заочная)'!#REF!</f>
        <v>#REF!</v>
      </c>
      <c r="L38" s="223" t="e">
        <f>'Учебный план (заочная)'!#REF!</f>
        <v>#REF!</v>
      </c>
      <c r="M38" s="223" t="e">
        <f>'Учебный план (заочная)'!#REF!</f>
        <v>#REF!</v>
      </c>
      <c r="N38" s="223" t="e">
        <f>'Учебный план (заочная)'!#REF!</f>
        <v>#REF!</v>
      </c>
      <c r="O38" s="223" t="e">
        <f>'Учебный план (заочная)'!#REF!</f>
        <v>#REF!</v>
      </c>
      <c r="P38" s="211">
        <f>'Учебный план (заочная)'!N36</f>
        <v>120</v>
      </c>
      <c r="Q38" s="228" t="str">
        <f>'Учебный план (заочная)'!B36</f>
        <v>Организация пассажирских перевозок и обслуживание пассажиров (по видам транспорта)</v>
      </c>
    </row>
    <row r="39" spans="1:17" ht="12.75">
      <c r="A39" s="215" t="str">
        <f>'Учебный план (очная)'!A56</f>
        <v>Экзамен квалификационный</v>
      </c>
      <c r="B39" s="169">
        <f>'Учебный план (очная)'!B56</f>
        <v>0</v>
      </c>
      <c r="C39" s="169">
        <f>'Учебный план (очная)'!C56</f>
        <v>0</v>
      </c>
      <c r="D39" s="169" t="str">
        <f>'Учебный план (очная)'!D56</f>
        <v>8</v>
      </c>
      <c r="E39" s="169">
        <f>'Учебный план (очная)'!E56</f>
        <v>0</v>
      </c>
      <c r="F39" s="169">
        <f>'Учебный план (очная)'!F56</f>
        <v>0</v>
      </c>
      <c r="G39" s="169">
        <f>'Учебный план (очная)'!H56</f>
        <v>0</v>
      </c>
      <c r="H39" s="169">
        <f>'Учебный план (очная)'!I56</f>
        <v>0</v>
      </c>
      <c r="I39" s="216">
        <f>'Учебный план (очная)'!N56</f>
        <v>0</v>
      </c>
      <c r="K39" s="227" t="str">
        <f>'Учебный план (заочная)'!D46</f>
        <v>4</v>
      </c>
      <c r="L39" s="223">
        <f>'Учебный план (заочная)'!E46</f>
        <v>0</v>
      </c>
      <c r="M39" s="223">
        <f>'Учебный план (заочная)'!F46</f>
        <v>0</v>
      </c>
      <c r="N39" s="223">
        <f>'Учебный план (заочная)'!H46</f>
        <v>0</v>
      </c>
      <c r="O39" s="223">
        <f>'Учебный план (заочная)'!I46</f>
        <v>0</v>
      </c>
      <c r="P39" s="211">
        <f>'Учебный план (заочная)'!N38</f>
        <v>0</v>
      </c>
      <c r="Q39" s="228">
        <f>'Учебный план (заочная)'!B38</f>
        <v>0</v>
      </c>
    </row>
    <row r="40" spans="1:17" ht="12.75">
      <c r="A40" s="217" t="str">
        <f>'Учебный план (очная)'!A57</f>
        <v>ПМ.03</v>
      </c>
      <c r="B40" s="209" t="str">
        <f>'Учебный план (очная)'!B57</f>
        <v>Организация транспортно-логистической деятельности (по видам транспорта)</v>
      </c>
      <c r="C40" s="209">
        <f>'Учебный план (очная)'!C57</f>
        <v>0</v>
      </c>
      <c r="D40" s="209">
        <f>'Учебный план (очная)'!D57</f>
        <v>0</v>
      </c>
      <c r="E40" s="209">
        <f>'Учебный план (очная)'!E57</f>
        <v>0</v>
      </c>
      <c r="F40" s="209">
        <f>'Учебный план (очная)'!F57</f>
        <v>0</v>
      </c>
      <c r="G40" s="209">
        <f>'Учебный план (очная)'!H57</f>
        <v>0</v>
      </c>
      <c r="H40" s="209">
        <f>'Учебный план (очная)'!I57</f>
        <v>0</v>
      </c>
      <c r="I40" s="218">
        <f>'Учебный план (очная)'!N57</f>
        <v>575</v>
      </c>
      <c r="J40" s="208"/>
      <c r="K40" s="226">
        <f>'Учебный план (заочная)'!D47</f>
        <v>0</v>
      </c>
      <c r="L40" s="222">
        <f>'Учебный план (заочная)'!E47</f>
        <v>0</v>
      </c>
      <c r="M40" s="222">
        <f>'Учебный план (заочная)'!F47</f>
        <v>0</v>
      </c>
      <c r="N40" s="222">
        <f>'Учебный план (заочная)'!H47</f>
        <v>0</v>
      </c>
      <c r="O40" s="222">
        <f>'Учебный план (заочная)'!I47</f>
        <v>0</v>
      </c>
      <c r="P40" s="210">
        <f>'Учебный план (заочная)'!N39</f>
        <v>575</v>
      </c>
      <c r="Q40" s="229" t="str">
        <f>'Учебный план (заочная)'!B39</f>
        <v>Организация транспортно-логистической деятельности (по видам транспорта)</v>
      </c>
    </row>
    <row r="41" spans="1:17" ht="12.75">
      <c r="A41" s="215" t="str">
        <f>'Учебный план (очная)'!A58</f>
        <v>МДК.03.01.</v>
      </c>
      <c r="B41" s="169" t="str">
        <f>'Учебный план (очная)'!B58</f>
        <v>Транспортно-экспедиционная деятельность (по видам транспорта)</v>
      </c>
      <c r="C41" s="169">
        <f>'Учебный план (очная)'!C58</f>
        <v>0</v>
      </c>
      <c r="D41" s="169" t="str">
        <f>'Учебный план (очная)'!D58</f>
        <v>4</v>
      </c>
      <c r="E41" s="169">
        <f>'Учебный план (очная)'!E58</f>
        <v>0</v>
      </c>
      <c r="F41" s="169">
        <f>'Учебный план (очная)'!F58</f>
        <v>0</v>
      </c>
      <c r="G41" s="169">
        <f>'Учебный план (очная)'!H58</f>
        <v>0</v>
      </c>
      <c r="H41" s="169">
        <f>'Учебный план (очная)'!I58</f>
        <v>0</v>
      </c>
      <c r="I41" s="216">
        <f>'Учебный план (очная)'!N58</f>
        <v>114</v>
      </c>
      <c r="K41" s="227">
        <f>'Учебный план (заочная)'!D48</f>
        <v>0</v>
      </c>
      <c r="L41" s="223" t="str">
        <f>'Учебный план (заочная)'!E48</f>
        <v>1</v>
      </c>
      <c r="M41" s="223">
        <f>'Учебный план (заочная)'!F48</f>
        <v>0</v>
      </c>
      <c r="N41" s="223">
        <f>'Учебный план (заочная)'!H48</f>
        <v>0</v>
      </c>
      <c r="O41" s="223">
        <f>'Учебный план (заочная)'!I48</f>
        <v>0</v>
      </c>
      <c r="P41" s="211">
        <f>'Учебный план (заочная)'!N40</f>
        <v>114</v>
      </c>
      <c r="Q41" s="228" t="str">
        <f>'Учебный план (заочная)'!B40</f>
        <v>Транспортно-экспедиционная деятельность (по видам транспорта)</v>
      </c>
    </row>
    <row r="42" spans="1:17" ht="12.75">
      <c r="A42" s="215" t="str">
        <f>'Учебный план (очная)'!A59</f>
        <v>МДК.03.02.</v>
      </c>
      <c r="B42" s="169" t="str">
        <f>'Учебный план (очная)'!B59</f>
        <v>Обеспечение грузовых перевозок (по видам транспорта)</v>
      </c>
      <c r="C42" s="169">
        <f>'Учебный план (очная)'!C59</f>
        <v>0</v>
      </c>
      <c r="D42" s="169">
        <f>'Учебный план (очная)'!D59</f>
        <v>0</v>
      </c>
      <c r="E42" s="169" t="str">
        <f>'Учебный план (очная)'!E59</f>
        <v>6,8</v>
      </c>
      <c r="F42" s="169">
        <f>'Учебный план (очная)'!F59</f>
        <v>0</v>
      </c>
      <c r="G42" s="169" t="str">
        <f>'Учебный план (очная)'!H59</f>
        <v>8</v>
      </c>
      <c r="H42" s="169" t="str">
        <f>'Учебный план (очная)'!I59</f>
        <v>5,7</v>
      </c>
      <c r="I42" s="216">
        <f>'Учебный план (очная)'!N59</f>
        <v>305</v>
      </c>
      <c r="K42" s="227" t="e">
        <f>'Учебный план (заочная)'!#REF!</f>
        <v>#REF!</v>
      </c>
      <c r="L42" s="223" t="e">
        <f>'Учебный план (заочная)'!#REF!</f>
        <v>#REF!</v>
      </c>
      <c r="M42" s="223" t="e">
        <f>'Учебный план (заочная)'!#REF!</f>
        <v>#REF!</v>
      </c>
      <c r="N42" s="223" t="e">
        <f>'Учебный план (заочная)'!#REF!</f>
        <v>#REF!</v>
      </c>
      <c r="O42" s="223" t="e">
        <f>'Учебный план (заочная)'!#REF!</f>
        <v>#REF!</v>
      </c>
      <c r="P42" s="211">
        <f>'Учебный план (заочная)'!N41</f>
        <v>305</v>
      </c>
      <c r="Q42" s="228" t="str">
        <f>'Учебный план (заочная)'!B41</f>
        <v>Обеспечение грузовых перевозок (по видам транспорта)</v>
      </c>
    </row>
    <row r="43" spans="1:17" ht="12.75">
      <c r="A43" s="215" t="str">
        <f>'Учебный план (очная)'!A60</f>
        <v>МДК.03.03.</v>
      </c>
      <c r="B43" s="169" t="str">
        <f>'Учебный план (очная)'!B60</f>
        <v>Перевозка грузов на особых условиях</v>
      </c>
      <c r="C43" s="169">
        <f>'Учебный план (очная)'!C60</f>
        <v>0</v>
      </c>
      <c r="D43" s="169">
        <f>'Учебный план (очная)'!D60</f>
        <v>0</v>
      </c>
      <c r="E43" s="169" t="str">
        <f>'Учебный план (очная)'!E60</f>
        <v>8</v>
      </c>
      <c r="F43" s="169">
        <f>'Учебный план (очная)'!F60</f>
        <v>0</v>
      </c>
      <c r="G43" s="169">
        <f>'Учебный план (очная)'!H60</f>
        <v>0</v>
      </c>
      <c r="H43" s="169" t="str">
        <f>'Учебный план (очная)'!I60</f>
        <v>7</v>
      </c>
      <c r="I43" s="216">
        <f>'Учебный план (очная)'!N60</f>
        <v>156</v>
      </c>
      <c r="K43" s="227">
        <f>'Учебный план (заочная)'!D49</f>
        <v>0</v>
      </c>
      <c r="L43" s="223" t="str">
        <f>'Учебный план (заочная)'!E49</f>
        <v>2</v>
      </c>
      <c r="M43" s="223">
        <f>'Учебный план (заочная)'!F49</f>
        <v>0</v>
      </c>
      <c r="N43" s="223">
        <f>'Учебный план (заочная)'!H49</f>
        <v>0</v>
      </c>
      <c r="O43" s="223">
        <f>'Учебный план (заочная)'!I49</f>
        <v>0</v>
      </c>
      <c r="P43" s="211">
        <f>'Учебный план (заочная)'!N42</f>
        <v>156</v>
      </c>
      <c r="Q43" s="228" t="str">
        <f>'Учебный план (заочная)'!B42</f>
        <v>Перевозка грузов на особых условиях</v>
      </c>
    </row>
    <row r="44" spans="1:17" ht="12.75">
      <c r="A44" s="215" t="str">
        <f>'Учебный план (очная)'!A61</f>
        <v>Экзамен квалификационный</v>
      </c>
      <c r="B44" s="169">
        <f>'Учебный план (очная)'!B61</f>
        <v>0</v>
      </c>
      <c r="C44" s="169">
        <f>'Учебный план (очная)'!C61</f>
        <v>0</v>
      </c>
      <c r="D44" s="169" t="str">
        <f>'Учебный план (очная)'!D61</f>
        <v>8</v>
      </c>
      <c r="E44" s="169">
        <f>'Учебный план (очная)'!E61</f>
        <v>0</v>
      </c>
      <c r="F44" s="169">
        <f>'Учебный план (очная)'!F61</f>
        <v>0</v>
      </c>
      <c r="G44" s="169">
        <f>'Учебный план (очная)'!H61</f>
        <v>0</v>
      </c>
      <c r="H44" s="169">
        <f>'Учебный план (очная)'!I61</f>
        <v>0</v>
      </c>
      <c r="I44" s="216">
        <f>'Учебный план (очная)'!N61</f>
        <v>0</v>
      </c>
      <c r="K44" s="227" t="e">
        <f>'Учебный план (заочная)'!#REF!</f>
        <v>#REF!</v>
      </c>
      <c r="L44" s="223" t="e">
        <f>'Учебный план (заочная)'!#REF!</f>
        <v>#REF!</v>
      </c>
      <c r="M44" s="223" t="e">
        <f>'Учебный план (заочная)'!#REF!</f>
        <v>#REF!</v>
      </c>
      <c r="N44" s="223" t="e">
        <f>'Учебный план (заочная)'!#REF!</f>
        <v>#REF!</v>
      </c>
      <c r="O44" s="223" t="e">
        <f>'Учебный план (заочная)'!#REF!</f>
        <v>#REF!</v>
      </c>
      <c r="P44" s="211">
        <f>'Учебный план (заочная)'!N43</f>
        <v>0</v>
      </c>
      <c r="Q44" s="228">
        <f>'Учебный план (заочная)'!B43</f>
        <v>0</v>
      </c>
    </row>
    <row r="45" spans="1:17" ht="12.75">
      <c r="A45" s="217" t="str">
        <f>'Учебный план (очная)'!A62</f>
        <v>ПМ.04</v>
      </c>
      <c r="B45" s="209" t="str">
        <f>'Учебный план (очная)'!B62</f>
        <v>Выполнение работ по одной или нескольким профессиям рабочих, должностям служащих</v>
      </c>
      <c r="C45" s="209">
        <f>'Учебный план (очная)'!C62</f>
        <v>0</v>
      </c>
      <c r="D45" s="209">
        <f>'Учебный план (очная)'!D62</f>
        <v>0</v>
      </c>
      <c r="E45" s="209">
        <f>'Учебный план (очная)'!E62</f>
        <v>0</v>
      </c>
      <c r="F45" s="209">
        <f>'Учебный план (очная)'!F62</f>
        <v>0</v>
      </c>
      <c r="G45" s="209">
        <f>'Учебный план (очная)'!H62</f>
        <v>0</v>
      </c>
      <c r="H45" s="209">
        <f>'Учебный план (очная)'!I62</f>
        <v>0</v>
      </c>
      <c r="I45" s="218">
        <f>'Учебный план (очная)'!N62</f>
        <v>204</v>
      </c>
      <c r="J45" s="208"/>
      <c r="K45" s="226" t="e">
        <f>'Учебный план (заочная)'!#REF!</f>
        <v>#REF!</v>
      </c>
      <c r="L45" s="222" t="e">
        <f>'Учебный план (заочная)'!#REF!</f>
        <v>#REF!</v>
      </c>
      <c r="M45" s="222" t="e">
        <f>'Учебный план (заочная)'!#REF!</f>
        <v>#REF!</v>
      </c>
      <c r="N45" s="222" t="e">
        <f>'Учебный план (заочная)'!#REF!</f>
        <v>#REF!</v>
      </c>
      <c r="O45" s="222" t="e">
        <f>'Учебный план (заочная)'!#REF!</f>
        <v>#REF!</v>
      </c>
      <c r="P45" s="210">
        <f>'Учебный план (заочная)'!N44</f>
        <v>204</v>
      </c>
      <c r="Q45" s="229" t="str">
        <f>'Учебный план (заочная)'!B44</f>
        <v>Выполнение работ по одной или нескольким профессиям рабочих, должностям служащих</v>
      </c>
    </row>
    <row r="46" spans="1:17" ht="12.75">
      <c r="A46" s="215">
        <f>'Учебный план (очная)'!A63</f>
        <v>0</v>
      </c>
      <c r="B46" s="169" t="str">
        <f>'Учебный план (очная)'!B63</f>
        <v>Оператор диспетчерской (производственно-диспетчерской службы)</v>
      </c>
      <c r="C46" s="169">
        <f>'Учебный план (очная)'!C63</f>
        <v>0</v>
      </c>
      <c r="D46" s="169">
        <f>'Учебный план (очная)'!D63</f>
        <v>0</v>
      </c>
      <c r="E46" s="169" t="str">
        <f>'Учебный план (очная)'!E63</f>
        <v>8</v>
      </c>
      <c r="F46" s="169">
        <f>'Учебный план (очная)'!F63</f>
        <v>0</v>
      </c>
      <c r="G46" s="169">
        <f>'Учебный план (очная)'!H63</f>
        <v>0</v>
      </c>
      <c r="H46" s="169" t="str">
        <f>'Учебный план (очная)'!I63</f>
        <v>7</v>
      </c>
      <c r="I46" s="216">
        <f>'Учебный план (очная)'!N63</f>
        <v>204</v>
      </c>
      <c r="K46" s="227">
        <f>'Учебный план (заочная)'!D51</f>
        <v>0</v>
      </c>
      <c r="L46" s="223" t="str">
        <f>'Учебный план (заочная)'!E51</f>
        <v>3</v>
      </c>
      <c r="M46" s="223">
        <f>'Учебный план (заочная)'!F51</f>
        <v>0</v>
      </c>
      <c r="N46" s="223">
        <f>'Учебный план (заочная)'!H51</f>
        <v>0</v>
      </c>
      <c r="O46" s="223">
        <f>'Учебный план (заочная)'!I51</f>
        <v>0</v>
      </c>
      <c r="P46" s="211">
        <f>'Учебный план (заочная)'!N45</f>
        <v>204</v>
      </c>
      <c r="Q46" s="228" t="str">
        <f>'Учебный план (заочная)'!B45</f>
        <v>Оператор диспетчерской (производственно-диспетчерской службы)</v>
      </c>
    </row>
    <row r="47" spans="1:17" ht="12.75">
      <c r="A47" s="215" t="e">
        <f>'Учебный план (очная)'!#REF!</f>
        <v>#REF!</v>
      </c>
      <c r="B47" s="169" t="e">
        <f>'Учебный план (очная)'!#REF!</f>
        <v>#REF!</v>
      </c>
      <c r="C47" s="169" t="e">
        <f>'Учебный план (очная)'!#REF!</f>
        <v>#REF!</v>
      </c>
      <c r="D47" s="169" t="e">
        <f>'Учебный план (очная)'!#REF!</f>
        <v>#REF!</v>
      </c>
      <c r="E47" s="169" t="e">
        <f>'Учебный план (очная)'!#REF!</f>
        <v>#REF!</v>
      </c>
      <c r="F47" s="169" t="e">
        <f>'Учебный план (очная)'!#REF!</f>
        <v>#REF!</v>
      </c>
      <c r="G47" s="169" t="e">
        <f>'Учебный план (очная)'!#REF!</f>
        <v>#REF!</v>
      </c>
      <c r="H47" s="169" t="e">
        <f>'Учебный план (очная)'!#REF!</f>
        <v>#REF!</v>
      </c>
      <c r="I47" s="216" t="e">
        <f>'Учебный план (очная)'!#REF!</f>
        <v>#REF!</v>
      </c>
      <c r="K47" s="227">
        <f>'Учебный план (заочная)'!D52</f>
        <v>0</v>
      </c>
      <c r="L47" s="223" t="str">
        <f>'Учебный план (заочная)'!E52</f>
        <v>3</v>
      </c>
      <c r="M47" s="223">
        <f>'Учебный план (заочная)'!F52</f>
        <v>0</v>
      </c>
      <c r="N47" s="223">
        <f>'Учебный план (заочная)'!H52</f>
        <v>0</v>
      </c>
      <c r="O47" s="223">
        <f>'Учебный план (заочная)'!I52</f>
        <v>0</v>
      </c>
      <c r="P47" s="211" t="e">
        <f>'Учебный план (заочная)'!#REF!</f>
        <v>#REF!</v>
      </c>
      <c r="Q47" s="228" t="e">
        <f>'Учебный план (заочная)'!#REF!</f>
        <v>#REF!</v>
      </c>
    </row>
    <row r="48" spans="1:17" ht="12.75">
      <c r="A48" s="215" t="str">
        <f>'Учебный план (очная)'!A64</f>
        <v>Экзамен квалификационный</v>
      </c>
      <c r="B48" s="169">
        <f>'Учебный план (очная)'!B64</f>
        <v>0</v>
      </c>
      <c r="C48" s="169">
        <f>'Учебный план (очная)'!C64</f>
        <v>0</v>
      </c>
      <c r="D48" s="169" t="str">
        <f>'Учебный план (очная)'!D64</f>
        <v>8</v>
      </c>
      <c r="E48" s="169">
        <f>'Учебный план (очная)'!E64</f>
        <v>0</v>
      </c>
      <c r="F48" s="169">
        <f>'Учебный план (очная)'!F64</f>
        <v>0</v>
      </c>
      <c r="G48" s="169">
        <f>'Учебный план (очная)'!H64</f>
        <v>0</v>
      </c>
      <c r="H48" s="169">
        <f>'Учебный план (очная)'!I64</f>
        <v>0</v>
      </c>
      <c r="I48" s="216">
        <f>'Учебный план (очная)'!N64</f>
        <v>0</v>
      </c>
      <c r="K48" s="227" t="str">
        <f>'Учебный план (заочная)'!D53</f>
        <v>4</v>
      </c>
      <c r="L48" s="223">
        <f>'Учебный план (заочная)'!E53</f>
        <v>0</v>
      </c>
      <c r="M48" s="223">
        <f>'Учебный план (заочная)'!F53</f>
        <v>0</v>
      </c>
      <c r="N48" s="223" t="str">
        <f>'Учебный план (заочная)'!H53</f>
        <v>4</v>
      </c>
      <c r="O48" s="223">
        <f>'Учебный план (заочная)'!I53</f>
        <v>0</v>
      </c>
      <c r="P48" s="211">
        <f>'Учебный план (заочная)'!N46</f>
        <v>0</v>
      </c>
      <c r="Q48" s="228">
        <f>'Учебный план (заочная)'!B46</f>
        <v>0</v>
      </c>
    </row>
    <row r="49" spans="1:17" ht="12.75">
      <c r="A49" s="217" t="str">
        <f>'Учебный план (очная)'!A65</f>
        <v>ВЧ.00</v>
      </c>
      <c r="B49" s="209" t="str">
        <f>'Учебный план (очная)'!B65</f>
        <v>Вариативная часть циклов ППССЗ</v>
      </c>
      <c r="C49" s="209">
        <f>'Учебный план (очная)'!C65</f>
        <v>0</v>
      </c>
      <c r="D49" s="209">
        <f>'Учебный план (очная)'!D65</f>
        <v>0</v>
      </c>
      <c r="E49" s="209">
        <f>'Учебный план (очная)'!E65</f>
        <v>0</v>
      </c>
      <c r="F49" s="209">
        <f>'Учебный план (очная)'!F65</f>
        <v>0</v>
      </c>
      <c r="G49" s="209">
        <f>'Учебный план (очная)'!H65</f>
        <v>0</v>
      </c>
      <c r="H49" s="209">
        <f>'Учебный план (очная)'!I65</f>
        <v>0</v>
      </c>
      <c r="I49" s="218">
        <f>'Учебный план (очная)'!N65</f>
        <v>602</v>
      </c>
      <c r="J49" s="208"/>
      <c r="K49" s="226" t="e">
        <f>'Учебный план (заочная)'!#REF!</f>
        <v>#REF!</v>
      </c>
      <c r="L49" s="222" t="e">
        <f>'Учебный план (заочная)'!#REF!</f>
        <v>#REF!</v>
      </c>
      <c r="M49" s="222" t="e">
        <f>'Учебный план (заочная)'!#REF!</f>
        <v>#REF!</v>
      </c>
      <c r="N49" s="222" t="e">
        <f>'Учебный план (заочная)'!#REF!</f>
        <v>#REF!</v>
      </c>
      <c r="O49" s="222" t="e">
        <f>'Учебный план (заочная)'!#REF!</f>
        <v>#REF!</v>
      </c>
      <c r="P49" s="210">
        <f>'Учебный план (заочная)'!N47</f>
        <v>602</v>
      </c>
      <c r="Q49" s="229" t="str">
        <f>'Учебный план (заочная)'!B47</f>
        <v>Вариативная часть чиклов ППССЗ</v>
      </c>
    </row>
    <row r="50" spans="1:17" ht="12.75">
      <c r="A50" s="215" t="e">
        <f>'Учебный план (очная)'!#REF!</f>
        <v>#REF!</v>
      </c>
      <c r="B50" s="169" t="e">
        <f>'Учебный план (очная)'!#REF!</f>
        <v>#REF!</v>
      </c>
      <c r="C50" s="169" t="e">
        <f>'Учебный план (очная)'!#REF!</f>
        <v>#REF!</v>
      </c>
      <c r="D50" s="169" t="e">
        <f>'Учебный план (очная)'!#REF!</f>
        <v>#REF!</v>
      </c>
      <c r="E50" s="169" t="e">
        <f>'Учебный план (очная)'!#REF!</f>
        <v>#REF!</v>
      </c>
      <c r="F50" s="169" t="e">
        <f>'Учебный план (очная)'!#REF!</f>
        <v>#REF!</v>
      </c>
      <c r="G50" s="169" t="e">
        <f>'Учебный план (очная)'!#REF!</f>
        <v>#REF!</v>
      </c>
      <c r="H50" s="169" t="e">
        <f>'Учебный план (очная)'!#REF!</f>
        <v>#REF!</v>
      </c>
      <c r="I50" s="216" t="e">
        <f>'Учебный план (очная)'!#REF!</f>
        <v>#REF!</v>
      </c>
      <c r="K50" s="227" t="e">
        <f>'Учебный план (заочная)'!#REF!</f>
        <v>#REF!</v>
      </c>
      <c r="L50" s="223" t="e">
        <f>'Учебный план (заочная)'!#REF!</f>
        <v>#REF!</v>
      </c>
      <c r="M50" s="223" t="e">
        <f>'Учебный план (заочная)'!#REF!</f>
        <v>#REF!</v>
      </c>
      <c r="N50" s="223" t="e">
        <f>'Учебный план (заочная)'!#REF!</f>
        <v>#REF!</v>
      </c>
      <c r="O50" s="223" t="e">
        <f>'Учебный план (заочная)'!#REF!</f>
        <v>#REF!</v>
      </c>
      <c r="P50" s="211">
        <f>'Учебный план (заочная)'!N48</f>
        <v>0</v>
      </c>
      <c r="Q50" s="228" t="e">
        <f>'Учебный план (заочная)'!B48</f>
        <v>#REF!</v>
      </c>
    </row>
    <row r="51" spans="1:17" ht="12.75">
      <c r="A51" s="215" t="e">
        <f>'Учебный план (очная)'!#REF!</f>
        <v>#REF!</v>
      </c>
      <c r="B51" s="169" t="e">
        <f>'Учебный план (очная)'!#REF!</f>
        <v>#REF!</v>
      </c>
      <c r="C51" s="169" t="e">
        <f>'Учебный план (очная)'!#REF!</f>
        <v>#REF!</v>
      </c>
      <c r="D51" s="169" t="e">
        <f>'Учебный план (очная)'!#REF!</f>
        <v>#REF!</v>
      </c>
      <c r="E51" s="169" t="e">
        <f>'Учебный план (очная)'!#REF!</f>
        <v>#REF!</v>
      </c>
      <c r="F51" s="169" t="e">
        <f>'Учебный план (очная)'!#REF!</f>
        <v>#REF!</v>
      </c>
      <c r="G51" s="169" t="e">
        <f>'Учебный план (очная)'!#REF!</f>
        <v>#REF!</v>
      </c>
      <c r="H51" s="169" t="e">
        <f>'Учебный план (очная)'!#REF!</f>
        <v>#REF!</v>
      </c>
      <c r="I51" s="216" t="e">
        <f>'Учебный план (очная)'!#REF!</f>
        <v>#REF!</v>
      </c>
      <c r="K51" s="227">
        <f>'Учебный план (заочная)'!D55</f>
        <v>0</v>
      </c>
      <c r="L51" s="223">
        <f>'Учебный план (заочная)'!E55</f>
        <v>0</v>
      </c>
      <c r="M51" s="223" t="str">
        <f>'Учебный план (заочная)'!F55</f>
        <v>2</v>
      </c>
      <c r="N51" s="223">
        <f>'Учебный план (заочная)'!H55</f>
        <v>0</v>
      </c>
      <c r="O51" s="223">
        <f>'Учебный план (заочная)'!I55</f>
        <v>0</v>
      </c>
      <c r="P51" s="211" t="e">
        <f>'Учебный план (заочная)'!#REF!</f>
        <v>#REF!</v>
      </c>
      <c r="Q51" s="228" t="e">
        <f>'Учебный план (заочная)'!#REF!</f>
        <v>#REF!</v>
      </c>
    </row>
    <row r="52" spans="1:17" ht="12.75">
      <c r="A52" s="215" t="str">
        <f>'Учебный план (очная)'!A66</f>
        <v>ВЧ.01</v>
      </c>
      <c r="B52" s="169" t="str">
        <f>'Учебный план (очная)'!B66</f>
        <v>Основы делопроизводства</v>
      </c>
      <c r="C52" s="169">
        <f>'Учебный план (очная)'!C66</f>
        <v>0</v>
      </c>
      <c r="D52" s="169">
        <f>'Учебный план (очная)'!D66</f>
        <v>0</v>
      </c>
      <c r="E52" s="169" t="str">
        <f>'Учебный план (очная)'!E66</f>
        <v>3</v>
      </c>
      <c r="F52" s="169">
        <f>'Учебный план (очная)'!F66</f>
        <v>0</v>
      </c>
      <c r="G52" s="169">
        <f>'Учебный план (очная)'!H66</f>
        <v>0</v>
      </c>
      <c r="H52" s="169">
        <f>'Учебный план (очная)'!I66</f>
        <v>0</v>
      </c>
      <c r="I52" s="216">
        <f>'Учебный план (очная)'!N66</f>
        <v>72</v>
      </c>
      <c r="K52" s="227">
        <f>'Учебный план (заочная)'!D57</f>
        <v>0</v>
      </c>
      <c r="L52" s="223">
        <f>'Учебный план (заочная)'!E57</f>
        <v>3</v>
      </c>
      <c r="M52" s="223">
        <f>'Учебный план (заочная)'!F57</f>
        <v>0</v>
      </c>
      <c r="N52" s="223">
        <f>'Учебный план (заочная)'!H57</f>
        <v>0</v>
      </c>
      <c r="O52" s="223">
        <f>'Учебный план (заочная)'!I57</f>
        <v>0</v>
      </c>
      <c r="P52" s="211">
        <f>'Учебный план (заочная)'!N49</f>
        <v>72</v>
      </c>
      <c r="Q52" s="228" t="str">
        <f>'Учебный план (заочная)'!B49</f>
        <v>Основы делопроизводства</v>
      </c>
    </row>
    <row r="53" spans="1:17" ht="12.75">
      <c r="A53" s="215" t="e">
        <f>'Учебный план (очная)'!#REF!</f>
        <v>#REF!</v>
      </c>
      <c r="B53" s="169" t="e">
        <f>'Учебный план (очная)'!#REF!</f>
        <v>#REF!</v>
      </c>
      <c r="C53" s="169" t="e">
        <f>'Учебный план (очная)'!#REF!</f>
        <v>#REF!</v>
      </c>
      <c r="D53" s="169" t="e">
        <f>'Учебный план (очная)'!#REF!</f>
        <v>#REF!</v>
      </c>
      <c r="E53" s="169" t="e">
        <f>'Учебный план (очная)'!#REF!</f>
        <v>#REF!</v>
      </c>
      <c r="F53" s="169" t="e">
        <f>'Учебный план (очная)'!#REF!</f>
        <v>#REF!</v>
      </c>
      <c r="G53" s="169" t="e">
        <f>'Учебный план (очная)'!#REF!</f>
        <v>#REF!</v>
      </c>
      <c r="H53" s="169" t="e">
        <f>'Учебный план (очная)'!#REF!</f>
        <v>#REF!</v>
      </c>
      <c r="I53" s="216" t="e">
        <f>'Учебный план (очная)'!#REF!</f>
        <v>#REF!</v>
      </c>
      <c r="K53" s="227">
        <f>'Учебный план (заочная)'!D58</f>
        <v>0</v>
      </c>
      <c r="L53" s="223">
        <f>'Учебный план (заочная)'!E58</f>
        <v>4</v>
      </c>
      <c r="M53" s="223">
        <f>'Учебный план (заочная)'!F58</f>
        <v>0</v>
      </c>
      <c r="N53" s="223">
        <f>'Учебный план (заочная)'!H58</f>
        <v>0</v>
      </c>
      <c r="O53" s="223">
        <f>'Учебный план (заочная)'!I58</f>
        <v>0</v>
      </c>
      <c r="P53" s="211" t="e">
        <f>'Учебный план (заочная)'!#REF!</f>
        <v>#REF!</v>
      </c>
      <c r="Q53" s="228" t="e">
        <f>'Учебный план (заочная)'!#REF!</f>
        <v>#REF!</v>
      </c>
    </row>
    <row r="54" spans="1:17" ht="12.75">
      <c r="A54" s="215" t="e">
        <f>'Учебный план (очная)'!#REF!</f>
        <v>#REF!</v>
      </c>
      <c r="B54" s="169" t="e">
        <f>'Учебный план (очная)'!#REF!</f>
        <v>#REF!</v>
      </c>
      <c r="C54" s="169" t="e">
        <f>'Учебный план (очная)'!#REF!</f>
        <v>#REF!</v>
      </c>
      <c r="D54" s="169" t="e">
        <f>'Учебный план (очная)'!#REF!</f>
        <v>#REF!</v>
      </c>
      <c r="E54" s="169" t="e">
        <f>'Учебный план (очная)'!#REF!</f>
        <v>#REF!</v>
      </c>
      <c r="F54" s="169" t="e">
        <f>'Учебный план (очная)'!#REF!</f>
        <v>#REF!</v>
      </c>
      <c r="G54" s="169" t="e">
        <f>'Учебный план (очная)'!#REF!</f>
        <v>#REF!</v>
      </c>
      <c r="H54" s="169" t="e">
        <f>'Учебный план (очная)'!#REF!</f>
        <v>#REF!</v>
      </c>
      <c r="I54" s="216" t="e">
        <f>'Учебный план (очная)'!#REF!</f>
        <v>#REF!</v>
      </c>
      <c r="K54" s="227">
        <f>'Учебный план (заочная)'!D59</f>
        <v>0</v>
      </c>
      <c r="L54" s="223">
        <f>'Учебный план (заочная)'!E59</f>
        <v>0</v>
      </c>
      <c r="M54" s="223">
        <f>'Учебный план (заочная)'!F59</f>
        <v>0</v>
      </c>
      <c r="N54" s="223">
        <f>'Учебный план (заочная)'!H59</f>
        <v>0</v>
      </c>
      <c r="O54" s="223">
        <f>'Учебный план (заочная)'!I59</f>
        <v>0</v>
      </c>
      <c r="P54" s="211" t="e">
        <f>'Учебный план (заочная)'!#REF!</f>
        <v>#REF!</v>
      </c>
      <c r="Q54" s="228" t="e">
        <f>'Учебный план (заочная)'!#REF!</f>
        <v>#REF!</v>
      </c>
    </row>
    <row r="55" spans="1:17" ht="12.75">
      <c r="A55" s="215" t="str">
        <f>'Учебный план (очная)'!A68</f>
        <v>ВЧ.03</v>
      </c>
      <c r="B55" s="169" t="str">
        <f>'Учебный план (очная)'!B68</f>
        <v>Коммерческая работа на транспорте</v>
      </c>
      <c r="C55" s="169">
        <f>'Учебный план (очная)'!C68</f>
        <v>0</v>
      </c>
      <c r="D55" s="169">
        <f>'Учебный план (очная)'!D68</f>
        <v>0</v>
      </c>
      <c r="E55" s="169" t="str">
        <f>'Учебный план (очная)'!E68</f>
        <v>3</v>
      </c>
      <c r="F55" s="169">
        <f>'Учебный план (очная)'!F68</f>
        <v>0</v>
      </c>
      <c r="G55" s="169">
        <f>'Учебный план (очная)'!H68</f>
        <v>0</v>
      </c>
      <c r="H55" s="169">
        <f>'Учебный план (очная)'!I68</f>
        <v>0</v>
      </c>
      <c r="I55" s="216">
        <f>'Учебный план (очная)'!N68</f>
        <v>72</v>
      </c>
      <c r="K55" s="227">
        <f>'Учебный план (заочная)'!D61</f>
        <v>0</v>
      </c>
      <c r="L55" s="223">
        <f>'Учебный план (заочная)'!E61</f>
        <v>0</v>
      </c>
      <c r="M55" s="223">
        <f>'Учебный план (заочная)'!F61</f>
        <v>0</v>
      </c>
      <c r="N55" s="223">
        <f>'Учебный план (заочная)'!H61</f>
        <v>0</v>
      </c>
      <c r="O55" s="223">
        <f>'Учебный план (заочная)'!I61</f>
        <v>0</v>
      </c>
      <c r="P55" s="211">
        <f>'Учебный план (заочная)'!N51</f>
        <v>72</v>
      </c>
      <c r="Q55" s="228" t="str">
        <f>'Учебный план (заочная)'!B51</f>
        <v>Коммерческая работа на транспорте</v>
      </c>
    </row>
    <row r="56" spans="1:17" ht="12.75">
      <c r="A56" s="215" t="str">
        <f>'Учебный план (очная)'!A69</f>
        <v>ВЧ.04</v>
      </c>
      <c r="B56" s="169" t="str">
        <f>'Учебный план (очная)'!B69</f>
        <v>Страхование и риски</v>
      </c>
      <c r="C56" s="169">
        <f>'Учебный план (очная)'!C69</f>
        <v>0</v>
      </c>
      <c r="D56" s="169">
        <f>'Учебный план (очная)'!D69</f>
        <v>0</v>
      </c>
      <c r="E56" s="169" t="str">
        <f>'Учебный план (очная)'!E69</f>
        <v>5</v>
      </c>
      <c r="F56" s="169">
        <f>'Учебный план (очная)'!F69</f>
        <v>0</v>
      </c>
      <c r="G56" s="169">
        <f>'Учебный план (очная)'!H69</f>
        <v>0</v>
      </c>
      <c r="H56" s="169" t="str">
        <f>'Учебный план (очная)'!I69</f>
        <v>4</v>
      </c>
      <c r="I56" s="216">
        <f>'Учебный план (очная)'!N69</f>
        <v>133</v>
      </c>
      <c r="K56" s="227">
        <f>'Учебный план (заочная)'!D62</f>
        <v>0</v>
      </c>
      <c r="L56" s="223">
        <f>'Учебный план (заочная)'!E62</f>
        <v>0</v>
      </c>
      <c r="M56" s="223">
        <f>'Учебный план (заочная)'!F62</f>
        <v>0</v>
      </c>
      <c r="N56" s="223">
        <f>'Учебный план (заочная)'!H62</f>
        <v>0</v>
      </c>
      <c r="O56" s="223">
        <f>'Учебный план (заочная)'!I62</f>
        <v>0</v>
      </c>
      <c r="P56" s="211">
        <f>'Учебный план (заочная)'!N52</f>
        <v>133</v>
      </c>
      <c r="Q56" s="228" t="str">
        <f>'Учебный план (заочная)'!B52</f>
        <v>Страхование и риски</v>
      </c>
    </row>
    <row r="57" spans="1:17" ht="12.75">
      <c r="A57" s="215" t="str">
        <f>'Учебный план (очная)'!A70</f>
        <v>ВЧ.05</v>
      </c>
      <c r="B57" s="169" t="str">
        <f>'Учебный план (очная)'!B70</f>
        <v>Экономика и управление на водном транспорте</v>
      </c>
      <c r="C57" s="169">
        <f>'Учебный план (очная)'!C70</f>
        <v>0</v>
      </c>
      <c r="D57" s="169" t="str">
        <f>'Учебный план (очная)'!D70</f>
        <v>6</v>
      </c>
      <c r="E57" s="169">
        <f>'Учебный план (очная)'!E70</f>
        <v>0</v>
      </c>
      <c r="F57" s="169">
        <f>'Учебный план (очная)'!F70</f>
        <v>0</v>
      </c>
      <c r="G57" s="169" t="str">
        <f>'Учебный план (очная)'!H70</f>
        <v>6</v>
      </c>
      <c r="H57" s="169" t="str">
        <f>'Учебный план (очная)'!I70</f>
        <v>5</v>
      </c>
      <c r="I57" s="216">
        <f>'Учебный план (очная)'!N70</f>
        <v>148</v>
      </c>
      <c r="K57" s="227">
        <f>'Учебный план (заочная)'!D63</f>
        <v>0</v>
      </c>
      <c r="L57" s="223">
        <f>'Учебный план (заочная)'!E63</f>
        <v>0</v>
      </c>
      <c r="M57" s="223">
        <f>'Учебный план (заочная)'!F63</f>
        <v>0</v>
      </c>
      <c r="N57" s="223">
        <f>'Учебный план (заочная)'!H63</f>
        <v>0</v>
      </c>
      <c r="O57" s="223">
        <f>'Учебный план (заочная)'!I63</f>
        <v>0</v>
      </c>
      <c r="P57" s="211">
        <f>'Учебный план (заочная)'!N53</f>
        <v>148</v>
      </c>
      <c r="Q57" s="228" t="str">
        <f>'Учебный план (заочная)'!B53</f>
        <v>Экономика и управление на водном транспорте</v>
      </c>
    </row>
    <row r="58" spans="1:17" ht="12.75">
      <c r="A58" s="215" t="str">
        <f>'Учебный план (очная)'!A72</f>
        <v>УП.00</v>
      </c>
      <c r="B58" s="169" t="str">
        <f>'Учебный план (очная)'!B72</f>
        <v>Учебная практика</v>
      </c>
      <c r="C58" s="169">
        <f>'Учебный план (очная)'!C72</f>
        <v>0</v>
      </c>
      <c r="D58" s="169">
        <f>'Учебный план (очная)'!D72</f>
        <v>0</v>
      </c>
      <c r="E58" s="169" t="str">
        <f>'Учебный план (очная)'!E72</f>
        <v>4</v>
      </c>
      <c r="F58" s="169">
        <f>'Учебный план (очная)'!F72</f>
        <v>0</v>
      </c>
      <c r="G58" s="169">
        <f>'Учебный план (очная)'!H72</f>
        <v>0</v>
      </c>
      <c r="H58" s="169">
        <f>'Учебный план (очная)'!I72</f>
        <v>0</v>
      </c>
      <c r="I58" s="216">
        <f>'Учебный план (очная)'!N72</f>
        <v>0</v>
      </c>
      <c r="K58" s="227">
        <f>'Учебный план (заочная)'!D64</f>
        <v>0</v>
      </c>
      <c r="L58" s="223">
        <f>'Учебный план (заочная)'!E64</f>
        <v>0</v>
      </c>
      <c r="M58" s="223">
        <f>'Учебный план (заочная)'!F64</f>
        <v>0</v>
      </c>
      <c r="N58" s="223">
        <f>'Учебный план (заочная)'!H64</f>
        <v>0</v>
      </c>
      <c r="O58" s="223">
        <f>'Учебный план (заочная)'!I64</f>
        <v>0</v>
      </c>
      <c r="P58" s="211" t="e">
        <f>'Учебный план (заочная)'!#REF!</f>
        <v>#REF!</v>
      </c>
      <c r="Q58" s="228" t="e">
        <f>'Учебный план (заочная)'!#REF!</f>
        <v>#REF!</v>
      </c>
    </row>
    <row r="59" spans="1:17" ht="12.75">
      <c r="A59" s="215" t="str">
        <f>'Учебный план (очная)'!A73</f>
        <v>УП.01</v>
      </c>
      <c r="B59" s="169" t="str">
        <f>'Учебный план (очная)'!B73</f>
        <v>Учебная практика</v>
      </c>
      <c r="C59" s="169">
        <f>'Учебный план (очная)'!C73</f>
        <v>0</v>
      </c>
      <c r="D59" s="169">
        <f>'Учебный план (очная)'!D73</f>
        <v>0</v>
      </c>
      <c r="E59" s="169">
        <f>'Учебный план (очная)'!E73</f>
        <v>0</v>
      </c>
      <c r="F59" s="169">
        <f>'Учебный план (очная)'!F73</f>
        <v>0</v>
      </c>
      <c r="G59" s="169">
        <f>'Учебный план (очная)'!H73</f>
        <v>0</v>
      </c>
      <c r="H59" s="169">
        <f>'Учебный план (очная)'!I73</f>
        <v>0</v>
      </c>
      <c r="I59" s="216">
        <f>'Учебный план (очная)'!N73</f>
        <v>0</v>
      </c>
      <c r="K59" s="227">
        <f>'Учебный план (заочная)'!D65</f>
        <v>0</v>
      </c>
      <c r="L59" s="223">
        <f>'Учебный план (заочная)'!E65</f>
        <v>0</v>
      </c>
      <c r="M59" s="223">
        <f>'Учебный план (заочная)'!F65</f>
        <v>0</v>
      </c>
      <c r="N59" s="223">
        <f>'Учебный план (заочная)'!H65</f>
        <v>0</v>
      </c>
      <c r="O59" s="223">
        <f>'Учебный план (заочная)'!I65</f>
        <v>0</v>
      </c>
      <c r="P59" s="211" t="e">
        <f>'Учебный план (заочная)'!#REF!</f>
        <v>#REF!</v>
      </c>
      <c r="Q59" s="228" t="e">
        <f>'Учебный план (заочная)'!#REF!</f>
        <v>#REF!</v>
      </c>
    </row>
    <row r="60" spans="1:17" ht="12.75">
      <c r="A60" s="215" t="str">
        <f>'Учебный план (очная)'!A74</f>
        <v>ПП.00</v>
      </c>
      <c r="B60" s="169" t="str">
        <f>'Учебный план (очная)'!B74</f>
        <v>Производственная практика</v>
      </c>
      <c r="C60" s="169">
        <f>'Учебный план (очная)'!C74</f>
        <v>0</v>
      </c>
      <c r="D60" s="169">
        <f>'Учебный план (очная)'!D74</f>
        <v>0</v>
      </c>
      <c r="E60" s="169">
        <f>'Учебный план (очная)'!E74</f>
        <v>0</v>
      </c>
      <c r="F60" s="169">
        <f>'Учебный план (очная)'!F74</f>
        <v>0</v>
      </c>
      <c r="G60" s="169">
        <f>'Учебный план (очная)'!H74</f>
        <v>0</v>
      </c>
      <c r="H60" s="169">
        <f>'Учебный план (очная)'!I74</f>
        <v>0</v>
      </c>
      <c r="I60" s="216">
        <f>'Учебный план (очная)'!N74</f>
        <v>0</v>
      </c>
      <c r="K60" s="227">
        <f>'Учебный план (заочная)'!D66</f>
        <v>0</v>
      </c>
      <c r="L60" s="223">
        <f>'Учебный план (заочная)'!E66</f>
        <v>0</v>
      </c>
      <c r="M60" s="223">
        <f>'Учебный план (заочная)'!F66</f>
        <v>0</v>
      </c>
      <c r="N60" s="223">
        <f>'Учебный план (заочная)'!H66</f>
        <v>0</v>
      </c>
      <c r="O60" s="223">
        <f>'Учебный план (заочная)'!I66</f>
        <v>0</v>
      </c>
      <c r="P60" s="211">
        <f>'Учебный план (заочная)'!N55</f>
        <v>144</v>
      </c>
      <c r="Q60" s="228" t="str">
        <f>'Учебный план (заочная)'!B55</f>
        <v>Учебная практика</v>
      </c>
    </row>
    <row r="61" spans="1:17" ht="12.75">
      <c r="A61" s="215" t="str">
        <f>'Учебный план (очная)'!A75</f>
        <v>ПП.01</v>
      </c>
      <c r="B61" s="169" t="str">
        <f>'Учебный план (очная)'!B75</f>
        <v>Производственная практика (практика по профилю специальности)</v>
      </c>
      <c r="C61" s="169">
        <f>'Учебный план (очная)'!C75</f>
        <v>0</v>
      </c>
      <c r="D61" s="169">
        <f>'Учебный план (очная)'!D75</f>
        <v>0</v>
      </c>
      <c r="E61" s="169" t="str">
        <f>'Учебный план (очная)'!E75</f>
        <v>7</v>
      </c>
      <c r="F61" s="169">
        <f>'Учебный план (очная)'!F75</f>
        <v>0</v>
      </c>
      <c r="G61" s="169">
        <f>'Учебный план (очная)'!H75</f>
        <v>0</v>
      </c>
      <c r="H61" s="169">
        <f>'Учебный план (очная)'!I75</f>
        <v>0</v>
      </c>
      <c r="I61" s="216">
        <f>'Учебный план (очная)'!N75</f>
        <v>0</v>
      </c>
      <c r="K61" s="227">
        <f>'Учебный план (заочная)'!D67</f>
        <v>0</v>
      </c>
      <c r="L61" s="223">
        <f>'Учебный план (заочная)'!E67</f>
        <v>0</v>
      </c>
      <c r="M61" s="223">
        <f>'Учебный план (заочная)'!F67</f>
        <v>0</v>
      </c>
      <c r="N61" s="223">
        <f>'Учебный план (заочная)'!H67</f>
        <v>0</v>
      </c>
      <c r="O61" s="223">
        <f>'Учебный план (заочная)'!I67</f>
        <v>0</v>
      </c>
      <c r="P61" s="211">
        <f>'Учебный план (заочная)'!N57</f>
        <v>756</v>
      </c>
      <c r="Q61" s="228" t="str">
        <f>'Учебный план (заочная)'!B57</f>
        <v>Производственная практика (практика по профилю специальности)</v>
      </c>
    </row>
    <row r="62" spans="1:17" ht="12.75">
      <c r="A62" s="215" t="str">
        <f>'Учебный план (очная)'!A76</f>
        <v>ПДП.01</v>
      </c>
      <c r="B62" s="169" t="str">
        <f>'Учебный план (очная)'!B76</f>
        <v>Производственная практика (преддипломная)</v>
      </c>
      <c r="C62" s="169">
        <f>'Учебный план (очная)'!C76</f>
        <v>0</v>
      </c>
      <c r="D62" s="169">
        <f>'Учебный план (очная)'!D76</f>
        <v>0</v>
      </c>
      <c r="E62" s="169" t="str">
        <f>'Учебный план (очная)'!E76</f>
        <v>8</v>
      </c>
      <c r="F62" s="169">
        <f>'Учебный план (очная)'!F76</f>
        <v>0</v>
      </c>
      <c r="G62" s="169">
        <f>'Учебный план (очная)'!H76</f>
        <v>0</v>
      </c>
      <c r="H62" s="169">
        <f>'Учебный план (очная)'!I76</f>
        <v>0</v>
      </c>
      <c r="I62" s="216">
        <f>'Учебный план (очная)'!N76</f>
        <v>0</v>
      </c>
      <c r="K62" s="227">
        <f>'Учебный план (заочная)'!D68</f>
        <v>0</v>
      </c>
      <c r="L62" s="223">
        <f>'Учебный план (заочная)'!E68</f>
        <v>0</v>
      </c>
      <c r="M62" s="223">
        <f>'Учебный план (заочная)'!F68</f>
        <v>0</v>
      </c>
      <c r="N62" s="223">
        <f>'Учебный план (заочная)'!H68</f>
        <v>0</v>
      </c>
      <c r="O62" s="223">
        <f>'Учебный план (заочная)'!I68</f>
        <v>0</v>
      </c>
      <c r="P62" s="211">
        <f>'Учебный план (заочная)'!N58</f>
        <v>144</v>
      </c>
      <c r="Q62" s="228" t="str">
        <f>'Учебный план (заочная)'!B58</f>
        <v>Производственная практика (преддипломная)</v>
      </c>
    </row>
    <row r="63" spans="1:17" ht="12.75">
      <c r="A63" s="215" t="str">
        <f>'Учебный план (очная)'!A77</f>
        <v>ГИА.00</v>
      </c>
      <c r="B63" s="169" t="str">
        <f>'Учебный план (очная)'!B77</f>
        <v>Государственная итоговая аттестация</v>
      </c>
      <c r="C63" s="169">
        <f>'Учебный план (очная)'!C77</f>
        <v>0</v>
      </c>
      <c r="D63" s="169">
        <f>'Учебный план (очная)'!D77</f>
        <v>0</v>
      </c>
      <c r="E63" s="169">
        <f>'Учебный план (очная)'!E77</f>
        <v>0</v>
      </c>
      <c r="F63" s="169">
        <f>'Учебный план (очная)'!F77</f>
        <v>0</v>
      </c>
      <c r="G63" s="169">
        <f>'Учебный план (очная)'!H77</f>
        <v>0</v>
      </c>
      <c r="H63" s="169">
        <f>'Учебный план (очная)'!I77</f>
        <v>0</v>
      </c>
      <c r="I63" s="216">
        <f>'Учебный план (очная)'!N77</f>
        <v>324</v>
      </c>
      <c r="K63" s="227">
        <f>'Учебный план (заочная)'!D69</f>
        <v>0</v>
      </c>
      <c r="L63" s="223">
        <f>'Учебный план (заочная)'!E69</f>
        <v>0</v>
      </c>
      <c r="M63" s="223">
        <f>'Учебный план (заочная)'!F69</f>
        <v>0</v>
      </c>
      <c r="N63" s="223">
        <f>'Учебный план (заочная)'!H69</f>
        <v>0</v>
      </c>
      <c r="O63" s="223">
        <f>'Учебный план (заочная)'!I69</f>
        <v>0</v>
      </c>
      <c r="P63" s="211">
        <f>'Учебный план (заочная)'!N59</f>
        <v>324</v>
      </c>
      <c r="Q63" s="228" t="str">
        <f>'Учебный план (заочная)'!B59</f>
        <v>Государственная итоговая аттестация</v>
      </c>
    </row>
    <row r="64" spans="1:17" ht="13.5" thickBot="1">
      <c r="A64" s="219" t="str">
        <f>'Учебный план (очная)'!A79</f>
        <v>ГИА.02</v>
      </c>
      <c r="B64" s="220" t="str">
        <f>'Учебный план (очная)'!B79</f>
        <v>Защита выпускной квалификационной работы</v>
      </c>
      <c r="C64" s="220">
        <f>'Учебный план (очная)'!C79</f>
        <v>0</v>
      </c>
      <c r="D64" s="220">
        <f>'Учебный план (очная)'!D79</f>
        <v>0</v>
      </c>
      <c r="E64" s="220">
        <f>'Учебный план (очная)'!E79</f>
        <v>0</v>
      </c>
      <c r="F64" s="220">
        <f>'Учебный план (очная)'!F79</f>
        <v>0</v>
      </c>
      <c r="G64" s="220">
        <f>'Учебный план (очная)'!H79</f>
        <v>0</v>
      </c>
      <c r="H64" s="220">
        <f>'Учебный план (очная)'!I79</f>
        <v>0</v>
      </c>
      <c r="I64" s="221">
        <f>'Учебный план (очная)'!N79</f>
        <v>108</v>
      </c>
      <c r="K64" s="230">
        <f>'Учебный план (заочная)'!D70</f>
        <v>0</v>
      </c>
      <c r="L64" s="231">
        <f>'Учебный план (заочная)'!E70</f>
        <v>0</v>
      </c>
      <c r="M64" s="231">
        <f>'Учебный план (заочная)'!F70</f>
        <v>0</v>
      </c>
      <c r="N64" s="231">
        <f>'Учебный план (заочная)'!H70</f>
        <v>0</v>
      </c>
      <c r="O64" s="231">
        <f>'Учебный план (заочная)'!I70</f>
        <v>0</v>
      </c>
      <c r="P64" s="232">
        <f>'Учебный план (заочная)'!N61</f>
        <v>108</v>
      </c>
      <c r="Q64" s="233" t="str">
        <f>'Учебный план (заочная)'!B61</f>
        <v>Защита выпускной квалификационной работы</v>
      </c>
    </row>
    <row r="65" spans="1:17" ht="12.75">
      <c r="A65">
        <f>'Учебный план (очная)'!A80</f>
        <v>0</v>
      </c>
      <c r="B65" t="str">
        <f>'Учебный план (очная)'!B80</f>
        <v>Консультации</v>
      </c>
      <c r="C65">
        <f>'Учебный план (очная)'!C80</f>
        <v>0</v>
      </c>
      <c r="D65">
        <f>'Учебный план (очная)'!D80</f>
        <v>0</v>
      </c>
      <c r="E65">
        <f>'Учебный план (очная)'!E80</f>
        <v>0</v>
      </c>
      <c r="F65">
        <f>'Учебный план (очная)'!F80</f>
        <v>0</v>
      </c>
      <c r="G65">
        <f>'Учебный план (очная)'!H80</f>
        <v>0</v>
      </c>
      <c r="H65">
        <f>'Учебный план (очная)'!I80</f>
        <v>0</v>
      </c>
      <c r="I65" s="206">
        <f>'Учебный план (очная)'!N80</f>
        <v>0</v>
      </c>
      <c r="K65" s="207">
        <f>'Учебный план (заочная)'!D71</f>
        <v>0</v>
      </c>
      <c r="L65" s="207">
        <f>'Учебный план (заочная)'!E71</f>
        <v>0</v>
      </c>
      <c r="M65" s="207">
        <f>'Учебный план (заочная)'!F71</f>
        <v>0</v>
      </c>
      <c r="N65" s="207">
        <f>'Учебный план (заочная)'!H71</f>
        <v>0</v>
      </c>
      <c r="O65" s="207">
        <f>'Учебный план (заочная)'!I71</f>
        <v>0</v>
      </c>
      <c r="P65" s="206">
        <f>'Учебный план (заочная)'!N62</f>
        <v>0</v>
      </c>
      <c r="Q65" s="207" t="str">
        <f>'Учебный план (заочная)'!B62</f>
        <v>Консультации</v>
      </c>
    </row>
    <row r="66" spans="1:17" ht="12.75" hidden="1">
      <c r="A66">
        <f>'Учебный план (очная)'!A81</f>
        <v>0</v>
      </c>
      <c r="B66">
        <f>'Учебный план (очная)'!B81</f>
        <v>0</v>
      </c>
      <c r="C66">
        <f>'Учебный план (очная)'!C81</f>
        <v>0</v>
      </c>
      <c r="D66">
        <f>'Учебный план (очная)'!D81</f>
        <v>0</v>
      </c>
      <c r="E66">
        <f>'Учебный план (очная)'!E81</f>
        <v>0</v>
      </c>
      <c r="F66">
        <f>'Учебный план (очная)'!F81</f>
        <v>0</v>
      </c>
      <c r="G66">
        <f>'Учебный план (очная)'!H81</f>
        <v>0</v>
      </c>
      <c r="H66">
        <f>'Учебный план (очная)'!I81</f>
        <v>0</v>
      </c>
      <c r="I66" s="206">
        <f>'Учебный план (очная)'!N81</f>
        <v>0</v>
      </c>
      <c r="K66" s="207">
        <f>'Учебный план (заочная)'!D72</f>
        <v>0</v>
      </c>
      <c r="L66" s="207">
        <f>'Учебный план (заочная)'!E72</f>
        <v>0</v>
      </c>
      <c r="M66" s="207">
        <f>'Учебный план (заочная)'!F72</f>
        <v>0</v>
      </c>
      <c r="N66" s="207">
        <f>'Учебный план (заочная)'!H72</f>
        <v>0</v>
      </c>
      <c r="O66" s="207">
        <f>'Учебный план (заочная)'!I72</f>
        <v>0</v>
      </c>
      <c r="P66" s="206">
        <f>'Учебный план (заочная)'!N63</f>
        <v>0</v>
      </c>
      <c r="Q66" s="207">
        <f>'Учебный план (заочная)'!B63</f>
        <v>0</v>
      </c>
    </row>
    <row r="67" spans="1:17" ht="12.75" hidden="1">
      <c r="A67">
        <f>'Учебный план (очная)'!A82</f>
        <v>0</v>
      </c>
      <c r="B67">
        <f>'Учебный план (очная)'!B82</f>
        <v>0</v>
      </c>
      <c r="C67">
        <f>'Учебный план (очная)'!C82</f>
        <v>0</v>
      </c>
      <c r="D67">
        <f>'Учебный план (очная)'!D82</f>
        <v>0</v>
      </c>
      <c r="E67">
        <f>'Учебный план (очная)'!E82</f>
        <v>0</v>
      </c>
      <c r="F67">
        <f>'Учебный план (очная)'!F82</f>
        <v>0</v>
      </c>
      <c r="G67">
        <f>'Учебный план (очная)'!H82</f>
        <v>0</v>
      </c>
      <c r="H67">
        <f>'Учебный план (очная)'!I82</f>
        <v>0</v>
      </c>
      <c r="I67" s="206">
        <f>'Учебный план (очная)'!N82</f>
        <v>0</v>
      </c>
      <c r="K67" s="207">
        <f>'Учебный план (заочная)'!D73</f>
        <v>0</v>
      </c>
      <c r="L67" s="207">
        <f>'Учебный план (заочная)'!E73</f>
        <v>0</v>
      </c>
      <c r="M67" s="207">
        <f>'Учебный план (заочная)'!F73</f>
        <v>0</v>
      </c>
      <c r="N67" s="207">
        <f>'Учебный план (заочная)'!H73</f>
        <v>0</v>
      </c>
      <c r="O67" s="207">
        <f>'Учебный план (заочная)'!I73</f>
        <v>0</v>
      </c>
      <c r="P67" s="206">
        <f>'Учебный план (заочная)'!N64</f>
        <v>0</v>
      </c>
      <c r="Q67" s="207">
        <f>'Учебный план (заочная)'!B64</f>
        <v>0</v>
      </c>
    </row>
    <row r="68" spans="1:17" ht="12.75" hidden="1">
      <c r="A68">
        <f>'Учебный план (очная)'!A83</f>
        <v>0</v>
      </c>
      <c r="B68">
        <f>'Учебный план (очная)'!B83</f>
        <v>0</v>
      </c>
      <c r="C68">
        <f>'Учебный план (очная)'!C83</f>
        <v>0</v>
      </c>
      <c r="D68">
        <f>'Учебный план (очная)'!D83</f>
        <v>0</v>
      </c>
      <c r="E68">
        <f>'Учебный план (очная)'!E83</f>
        <v>0</v>
      </c>
      <c r="F68">
        <f>'Учебный план (очная)'!F83</f>
        <v>0</v>
      </c>
      <c r="G68">
        <f>'Учебный план (очная)'!H83</f>
        <v>0</v>
      </c>
      <c r="H68">
        <f>'Учебный план (очная)'!I83</f>
        <v>0</v>
      </c>
      <c r="I68" s="206">
        <f>'Учебный план (очная)'!N83</f>
        <v>0</v>
      </c>
      <c r="K68" s="207">
        <f>'Учебный план (заочная)'!D74</f>
        <v>0</v>
      </c>
      <c r="L68" s="207">
        <f>'Учебный план (заочная)'!E74</f>
        <v>0</v>
      </c>
      <c r="M68" s="207">
        <f>'Учебный план (заочная)'!F74</f>
        <v>0</v>
      </c>
      <c r="N68" s="207">
        <f>'Учебный план (заочная)'!H74</f>
        <v>0</v>
      </c>
      <c r="O68" s="207">
        <f>'Учебный план (заочная)'!I74</f>
        <v>0</v>
      </c>
      <c r="P68" s="206">
        <f>'Учебный план (заочная)'!N65</f>
        <v>0</v>
      </c>
      <c r="Q68" s="207">
        <f>'Учебный план (заочная)'!B65</f>
        <v>0</v>
      </c>
    </row>
    <row r="69" spans="1:17" ht="12.75">
      <c r="A69">
        <f>'Учебный план (очная)'!A84</f>
        <v>0</v>
      </c>
      <c r="B69" t="str">
        <f>'Учебный план (очная)'!B84</f>
        <v>Всего часов обучения по циклам</v>
      </c>
      <c r="C69">
        <f>'Учебный план (очная)'!C84</f>
        <v>0</v>
      </c>
      <c r="D69">
        <f>'Учебный план (очная)'!D84</f>
        <v>0</v>
      </c>
      <c r="E69">
        <f>'Учебный план (очная)'!E84</f>
        <v>0</v>
      </c>
      <c r="F69">
        <f>'Учебный план (очная)'!F84</f>
        <v>0</v>
      </c>
      <c r="G69">
        <f>'Учебный план (очная)'!H84</f>
        <v>0</v>
      </c>
      <c r="H69">
        <f>'Учебный план (очная)'!I84</f>
        <v>0</v>
      </c>
      <c r="I69" s="206">
        <f>'Учебный план (очная)'!N84</f>
        <v>6642</v>
      </c>
      <c r="K69" s="207">
        <f>'Учебный план (заочная)'!D75</f>
        <v>0</v>
      </c>
      <c r="L69" s="207">
        <f>'Учебный план (заочная)'!E75</f>
        <v>0</v>
      </c>
      <c r="M69" s="207">
        <f>'Учебный план (заочная)'!F75</f>
        <v>0</v>
      </c>
      <c r="N69" s="207">
        <f>'Учебный план (заочная)'!H75</f>
        <v>0</v>
      </c>
      <c r="O69" s="207">
        <f>'Учебный план (заочная)'!I75</f>
        <v>0</v>
      </c>
      <c r="P69" s="206">
        <f>'Учебный план (заочная)'!N66</f>
        <v>4536</v>
      </c>
      <c r="Q69" s="207" t="str">
        <f>'Учебный план (заочная)'!B66</f>
        <v>Всего часов обучения по циклам</v>
      </c>
    </row>
    <row r="70" spans="1:17" ht="12.75">
      <c r="A70">
        <f>'Учебный план (очная)'!A85</f>
        <v>0</v>
      </c>
      <c r="B70" t="str">
        <f>'Учебный план (очная)'!B85</f>
        <v>Всего часов обучения по практикам</v>
      </c>
      <c r="C70">
        <f>'Учебный план (очная)'!C85</f>
        <v>0</v>
      </c>
      <c r="D70">
        <f>'Учебный план (очная)'!D85</f>
        <v>0</v>
      </c>
      <c r="E70">
        <f>'Учебный план (очная)'!E85</f>
        <v>0</v>
      </c>
      <c r="F70">
        <f>'Учебный план (очная)'!F85</f>
        <v>0</v>
      </c>
      <c r="G70">
        <f>'Учебный план (очная)'!H85</f>
        <v>0</v>
      </c>
      <c r="H70">
        <f>'Учебный план (очная)'!I85</f>
        <v>0</v>
      </c>
      <c r="I70" s="206">
        <f>'Учебный план (очная)'!N85</f>
        <v>0</v>
      </c>
      <c r="K70" s="207">
        <f>'Учебный план (заочная)'!D76</f>
        <v>0</v>
      </c>
      <c r="L70" s="207">
        <f>'Учебный план (заочная)'!E76</f>
        <v>0</v>
      </c>
      <c r="M70" s="207">
        <f>'Учебный план (заочная)'!F76</f>
        <v>0</v>
      </c>
      <c r="N70" s="207">
        <f>'Учебный план (заочная)'!H76</f>
        <v>0</v>
      </c>
      <c r="O70" s="207">
        <f>'Учебный план (заочная)'!I76</f>
        <v>0</v>
      </c>
      <c r="P70" s="206">
        <f>'Учебный план (заочная)'!N67</f>
        <v>144</v>
      </c>
      <c r="Q70" s="207" t="str">
        <f>'Учебный план (заочная)'!B67</f>
        <v>Всего часов обучения по практикам</v>
      </c>
    </row>
    <row r="71" spans="1:17" ht="12.75">
      <c r="A71">
        <f>'Учебный план (очная)'!A86</f>
        <v>0</v>
      </c>
      <c r="B71" t="str">
        <f>'Учебный план (очная)'!B86</f>
        <v>Всего часов на государственную итоговую аттестацию</v>
      </c>
      <c r="C71">
        <f>'Учебный план (очная)'!C86</f>
        <v>0</v>
      </c>
      <c r="D71">
        <f>'Учебный план (очная)'!D86</f>
        <v>0</v>
      </c>
      <c r="E71">
        <f>'Учебный план (очная)'!E86</f>
        <v>0</v>
      </c>
      <c r="F71">
        <f>'Учебный план (очная)'!F86</f>
        <v>0</v>
      </c>
      <c r="G71">
        <f>'Учебный план (очная)'!H86</f>
        <v>0</v>
      </c>
      <c r="H71">
        <f>'Учебный план (очная)'!I86</f>
        <v>0</v>
      </c>
      <c r="I71" s="206">
        <f>'Учебный план (очная)'!N86</f>
        <v>324</v>
      </c>
      <c r="K71" s="207" t="e">
        <f>'Учебный план (заочная)'!#REF!</f>
        <v>#REF!</v>
      </c>
      <c r="L71" s="207" t="e">
        <f>'Учебный план (заочная)'!#REF!</f>
        <v>#REF!</v>
      </c>
      <c r="M71" s="207" t="e">
        <f>'Учебный план (заочная)'!#REF!</f>
        <v>#REF!</v>
      </c>
      <c r="N71" s="207" t="e">
        <f>'Учебный план (заочная)'!#REF!</f>
        <v>#REF!</v>
      </c>
      <c r="O71" s="207" t="e">
        <f>'Учебный план (заочная)'!#REF!</f>
        <v>#REF!</v>
      </c>
      <c r="P71" s="206">
        <f>'Учебный план (заочная)'!N68</f>
        <v>324</v>
      </c>
      <c r="Q71" s="207" t="str">
        <f>'Учебный план (заочная)'!B68</f>
        <v>Всего часов на государственную итоговую аттестацию</v>
      </c>
    </row>
    <row r="72" spans="1:17" ht="12.75">
      <c r="A72">
        <f>'Учебный план (очная)'!A87</f>
        <v>0</v>
      </c>
      <c r="B72" t="str">
        <f>'Учебный план (очная)'!B87</f>
        <v>Из всего часов на консультации</v>
      </c>
      <c r="C72">
        <f>'Учебный план (очная)'!C87</f>
        <v>0</v>
      </c>
      <c r="D72">
        <f>'Учебный план (очная)'!D87</f>
        <v>0</v>
      </c>
      <c r="E72">
        <f>'Учебный план (очная)'!E87</f>
        <v>0</v>
      </c>
      <c r="F72">
        <f>'Учебный план (очная)'!F87</f>
        <v>0</v>
      </c>
      <c r="G72">
        <f>'Учебный план (очная)'!H87</f>
        <v>0</v>
      </c>
      <c r="H72">
        <f>'Учебный план (очная)'!I87</f>
        <v>0</v>
      </c>
      <c r="I72" s="206">
        <f>'Учебный план (очная)'!N87</f>
        <v>0</v>
      </c>
      <c r="K72" s="207">
        <f>'Учебный план (заочная)'!D77</f>
        <v>0</v>
      </c>
      <c r="L72" s="207">
        <f>'Учебный план (заочная)'!E77</f>
        <v>0</v>
      </c>
      <c r="M72" s="207">
        <f>'Учебный план (заочная)'!F77</f>
        <v>0</v>
      </c>
      <c r="N72" s="207">
        <f>'Учебный план (заочная)'!H77</f>
        <v>0</v>
      </c>
      <c r="O72" s="207">
        <f>'Учебный план (заочная)'!I77</f>
        <v>0</v>
      </c>
      <c r="P72" s="206">
        <f>'Учебный план (заочная)'!N69</f>
        <v>0</v>
      </c>
      <c r="Q72" s="207" t="str">
        <f>'Учебный план (заочная)'!B69</f>
        <v>Из всего часов на консультации</v>
      </c>
    </row>
    <row r="73" spans="1:17" ht="12.75">
      <c r="A73">
        <f>'Учебный план (очная)'!A88</f>
        <v>0</v>
      </c>
      <c r="B73" t="str">
        <f>'Учебный план (очная)'!B88</f>
        <v>ИТОГО часов</v>
      </c>
      <c r="C73">
        <f>'Учебный план (очная)'!C88</f>
        <v>0</v>
      </c>
      <c r="D73">
        <f>'Учебный план (очная)'!D88</f>
        <v>0</v>
      </c>
      <c r="E73">
        <f>'Учебный план (очная)'!E88</f>
        <v>0</v>
      </c>
      <c r="F73">
        <f>'Учебный план (очная)'!F88</f>
        <v>0</v>
      </c>
      <c r="G73">
        <f>'Учебный план (очная)'!H88</f>
        <v>0</v>
      </c>
      <c r="H73">
        <f>'Учебный план (очная)'!I88</f>
        <v>0</v>
      </c>
      <c r="I73" s="206">
        <f>'Учебный план (очная)'!N88</f>
        <v>6966</v>
      </c>
      <c r="K73" s="207">
        <f>'Учебный план (заочная)'!D78</f>
        <v>0</v>
      </c>
      <c r="L73" s="207">
        <f>'Учебный план (заочная)'!E78</f>
        <v>0</v>
      </c>
      <c r="M73" s="207">
        <f>'Учебный план (заочная)'!F78</f>
        <v>0</v>
      </c>
      <c r="N73" s="207">
        <f>'Учебный план (заочная)'!H78</f>
        <v>0</v>
      </c>
      <c r="O73" s="207">
        <f>'Учебный план (заочная)'!I78</f>
        <v>0</v>
      </c>
      <c r="P73" s="206">
        <f>'Учебный план (заочная)'!N70</f>
        <v>5004</v>
      </c>
      <c r="Q73" s="207" t="str">
        <f>'Учебный план (заочная)'!B70</f>
        <v>ИТОГО часов</v>
      </c>
    </row>
  </sheetData>
  <sheetProtection password="CC6B" sheet="1" objects="1" scenarios="1" selectLockedCells="1" selectUnlockedCells="1"/>
  <mergeCells count="17">
    <mergeCell ref="A1:A7"/>
    <mergeCell ref="B1:B7"/>
    <mergeCell ref="C1:C7"/>
    <mergeCell ref="D1:H2"/>
    <mergeCell ref="D3:D7"/>
    <mergeCell ref="E3:E7"/>
    <mergeCell ref="F3:F7"/>
    <mergeCell ref="G3:G7"/>
    <mergeCell ref="H3:H7"/>
    <mergeCell ref="P1:P7"/>
    <mergeCell ref="O3:O7"/>
    <mergeCell ref="I1:I7"/>
    <mergeCell ref="K3:K7"/>
    <mergeCell ref="L3:L7"/>
    <mergeCell ref="M3:M7"/>
    <mergeCell ref="N3:N7"/>
    <mergeCell ref="K1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Короткова</dc:creator>
  <cp:keywords/>
  <dc:description/>
  <cp:lastModifiedBy>1</cp:lastModifiedBy>
  <cp:lastPrinted>2021-04-14T14:21:12Z</cp:lastPrinted>
  <dcterms:created xsi:type="dcterms:W3CDTF">2001-03-30T05:31:47Z</dcterms:created>
  <dcterms:modified xsi:type="dcterms:W3CDTF">2021-10-26T16:06:12Z</dcterms:modified>
  <cp:category/>
  <cp:version/>
  <cp:contentType/>
  <cp:contentStatus/>
</cp:coreProperties>
</file>